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saveExternalLinkValues="0" codeName="EstaPastaDeTrabalho"/>
  <mc:AlternateContent xmlns:mc="http://schemas.openxmlformats.org/markup-compatibility/2006">
    <mc:Choice Requires="x15">
      <x15ac:absPath xmlns:x15ac="http://schemas.microsoft.com/office/spreadsheetml/2010/11/ac" url="C:\Users\luan.lls\Downloads\"/>
    </mc:Choice>
  </mc:AlternateContent>
  <xr:revisionPtr revIDLastSave="0" documentId="13_ncr:1_{83DDA4BD-602C-4745-94C4-0DDC54785F79}" xr6:coauthVersionLast="36" xr6:coauthVersionMax="36" xr10:uidLastSave="{00000000-0000-0000-0000-000000000000}"/>
  <bookViews>
    <workbookView xWindow="-20610" yWindow="615" windowWidth="20730" windowHeight="10875" tabRatio="970" firstSheet="2" activeTab="2" xr2:uid="{00000000-000D-0000-FFFF-FFFF00000000}"/>
  </bookViews>
  <sheets>
    <sheet name="VALOR HR" sheetId="35" state="hidden" r:id="rId1"/>
    <sheet name="AJUSTE LANCE " sheetId="33" state="hidden" r:id="rId2"/>
    <sheet name="Resumo" sheetId="38" r:id="rId3"/>
    <sheet name="INSUMOS" sheetId="41" r:id="rId4"/>
    <sheet name="MATERIAIS" sheetId="59" r:id="rId5"/>
    <sheet name="EQUIPAMENTOS" sheetId="60" r:id="rId6"/>
    <sheet name="Planilha1" sheetId="61" state="hidden" r:id="rId7"/>
    <sheet name="ASG - Superintendencia (Int)" sheetId="45" r:id="rId8"/>
    <sheet name="ASG - Superintendencia (Ext)" sheetId="62" r:id="rId9"/>
    <sheet name="ASG - Posto Av" sheetId="50" r:id="rId10"/>
    <sheet name="ASG - DPF_PAC" sheetId="56" r:id="rId1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62" l="1"/>
  <c r="C111" i="45"/>
  <c r="C111" i="62" s="1"/>
  <c r="G22" i="41" l="1"/>
  <c r="F108" i="59"/>
  <c r="G110" i="60" s="1"/>
  <c r="C11" i="62"/>
  <c r="B215" i="62" s="1"/>
  <c r="C198" i="62"/>
  <c r="C199" i="62" s="1"/>
  <c r="D177" i="62"/>
  <c r="C162" i="62"/>
  <c r="D162" i="62" s="1"/>
  <c r="C157" i="62"/>
  <c r="C153" i="62"/>
  <c r="C164" i="62" s="1"/>
  <c r="C152" i="62"/>
  <c r="C151" i="62"/>
  <c r="C150" i="62"/>
  <c r="C149" i="62"/>
  <c r="C148" i="62"/>
  <c r="C141" i="62"/>
  <c r="C131" i="62"/>
  <c r="C120" i="62"/>
  <c r="C119" i="62"/>
  <c r="C114" i="62"/>
  <c r="C109" i="62"/>
  <c r="C105" i="62"/>
  <c r="C104" i="62"/>
  <c r="C102" i="62"/>
  <c r="C98" i="62"/>
  <c r="C94" i="62"/>
  <c r="C91" i="62"/>
  <c r="C90" i="62"/>
  <c r="C89" i="62"/>
  <c r="D76" i="62"/>
  <c r="D74" i="62"/>
  <c r="C73" i="62"/>
  <c r="D73" i="62" s="1"/>
  <c r="D72" i="62"/>
  <c r="D70" i="62"/>
  <c r="D67" i="62"/>
  <c r="C63" i="62"/>
  <c r="C81" i="62" s="1"/>
  <c r="C50" i="62"/>
  <c r="D43" i="62"/>
  <c r="C37" i="62"/>
  <c r="C36" i="62"/>
  <c r="C32" i="62"/>
  <c r="D27" i="62"/>
  <c r="C27" i="62"/>
  <c r="C12" i="62"/>
  <c r="C124" i="62" s="1"/>
  <c r="D71" i="62" l="1"/>
  <c r="D69" i="62" s="1"/>
  <c r="C154" i="62"/>
  <c r="C106" i="62"/>
  <c r="D29" i="62"/>
  <c r="C135" i="62"/>
  <c r="C96" i="62"/>
  <c r="C142" i="62"/>
  <c r="C163" i="62"/>
  <c r="C115" i="62"/>
  <c r="C116" i="62" s="1"/>
  <c r="C51" i="62"/>
  <c r="D68" i="62"/>
  <c r="D66" i="62" s="1"/>
  <c r="C97" i="62"/>
  <c r="D42" i="62"/>
  <c r="D45" i="62" s="1"/>
  <c r="D28" i="62"/>
  <c r="D32" i="62" s="1"/>
  <c r="F8" i="38"/>
  <c r="F7" i="38"/>
  <c r="F5" i="38"/>
  <c r="C192" i="50"/>
  <c r="C190" i="50"/>
  <c r="C123" i="50"/>
  <c r="C122" i="50"/>
  <c r="C111" i="50"/>
  <c r="C99" i="50"/>
  <c r="C192" i="56"/>
  <c r="C190" i="56"/>
  <c r="C123" i="56"/>
  <c r="C122" i="56"/>
  <c r="C111" i="56"/>
  <c r="C99" i="56"/>
  <c r="C12" i="56"/>
  <c r="C51" i="56" s="1"/>
  <c r="C69" i="56"/>
  <c r="C69" i="50"/>
  <c r="G19" i="41"/>
  <c r="G24" i="41"/>
  <c r="G23" i="41"/>
  <c r="C27" i="56"/>
  <c r="D27" i="56" s="1"/>
  <c r="C27" i="50"/>
  <c r="C27" i="45"/>
  <c r="D27" i="45"/>
  <c r="C12" i="45"/>
  <c r="C12" i="50"/>
  <c r="D36" i="62" l="1"/>
  <c r="D34" i="62"/>
  <c r="D35" i="62"/>
  <c r="D31" i="62"/>
  <c r="D30" i="62" s="1"/>
  <c r="C160" i="62"/>
  <c r="D160" i="62" s="1"/>
  <c r="C161" i="62"/>
  <c r="D161" i="62" s="1"/>
  <c r="C52" i="62"/>
  <c r="C80" i="62" s="1"/>
  <c r="D37" i="62"/>
  <c r="I66" i="60"/>
  <c r="H66" i="60"/>
  <c r="G66" i="60"/>
  <c r="D33" i="62" l="1"/>
  <c r="D39" i="62" s="1"/>
  <c r="H9" i="38"/>
  <c r="D89" i="62" l="1"/>
  <c r="D98" i="62"/>
  <c r="D97" i="62"/>
  <c r="D75" i="62"/>
  <c r="D77" i="62" s="1"/>
  <c r="D140" i="62"/>
  <c r="C132" i="62"/>
  <c r="D103" i="62"/>
  <c r="D96" i="62"/>
  <c r="D203" i="62"/>
  <c r="D50" i="62"/>
  <c r="D137" i="62"/>
  <c r="C138" i="62" s="1"/>
  <c r="D114" i="62"/>
  <c r="D132" i="62"/>
  <c r="C45" i="62"/>
  <c r="D115" i="62"/>
  <c r="D51" i="62"/>
  <c r="C134" i="62" s="1"/>
  <c r="D134" i="62" s="1"/>
  <c r="J9" i="38"/>
  <c r="D95" i="62" l="1"/>
  <c r="D110" i="62" s="1"/>
  <c r="D109" i="62" s="1"/>
  <c r="D108" i="62" s="1"/>
  <c r="D104" i="62"/>
  <c r="D105" i="62"/>
  <c r="D91" i="62"/>
  <c r="D90" i="62"/>
  <c r="D92" i="62" s="1"/>
  <c r="D143" i="62"/>
  <c r="C143" i="62" s="1"/>
  <c r="D82" i="62"/>
  <c r="C82" i="62"/>
  <c r="D107" i="62"/>
  <c r="D116" i="62"/>
  <c r="D125" i="62" s="1"/>
  <c r="C133" i="62"/>
  <c r="D133" i="62" s="1"/>
  <c r="D135" i="62" s="1"/>
  <c r="D52" i="62"/>
  <c r="D158" i="62"/>
  <c r="D141" i="62"/>
  <c r="D159" i="62" s="1"/>
  <c r="D157" i="62"/>
  <c r="E99" i="59"/>
  <c r="F96" i="59"/>
  <c r="F94" i="59"/>
  <c r="G94" i="59"/>
  <c r="H94" i="59"/>
  <c r="F92" i="59"/>
  <c r="G92" i="59"/>
  <c r="H92" i="59"/>
  <c r="F90" i="59"/>
  <c r="G90" i="59"/>
  <c r="H90" i="59"/>
  <c r="F88" i="59"/>
  <c r="G88" i="59"/>
  <c r="H88" i="59"/>
  <c r="F86" i="59"/>
  <c r="G86" i="59"/>
  <c r="H86" i="59"/>
  <c r="H80" i="59"/>
  <c r="H82" i="59"/>
  <c r="F84" i="59"/>
  <c r="G84" i="59"/>
  <c r="H84" i="59"/>
  <c r="D123" i="62" l="1"/>
  <c r="D94" i="62"/>
  <c r="D93" i="62" s="1"/>
  <c r="D106" i="62"/>
  <c r="D102" i="62" s="1"/>
  <c r="D111" i="62" s="1"/>
  <c r="D120" i="62" s="1"/>
  <c r="D142" i="62"/>
  <c r="D164" i="62" s="1"/>
  <c r="D88" i="62"/>
  <c r="D80" i="62"/>
  <c r="D57" i="62"/>
  <c r="D58" i="62"/>
  <c r="D55" i="62"/>
  <c r="D62" i="62"/>
  <c r="D60" i="62"/>
  <c r="D56" i="62"/>
  <c r="D61" i="62"/>
  <c r="D59" i="62"/>
  <c r="H5" i="61"/>
  <c r="E17" i="61" s="1"/>
  <c r="E27" i="59"/>
  <c r="H26" i="59"/>
  <c r="F24" i="59"/>
  <c r="G24" i="59"/>
  <c r="H24" i="59"/>
  <c r="H14" i="59"/>
  <c r="G14" i="59"/>
  <c r="F14" i="59"/>
  <c r="D99" i="62" l="1"/>
  <c r="D119" i="62" s="1"/>
  <c r="D121" i="62" s="1"/>
  <c r="D122" i="62" s="1"/>
  <c r="D124" i="62" s="1"/>
  <c r="C136" i="62" s="1"/>
  <c r="D136" i="62" s="1"/>
  <c r="D131" i="62" s="1"/>
  <c r="D138" i="62" s="1"/>
  <c r="D170" i="62" s="1"/>
  <c r="D63" i="62"/>
  <c r="D81" i="62" s="1"/>
  <c r="D83" i="62" s="1"/>
  <c r="D163" i="62"/>
  <c r="D165" i="62" s="1"/>
  <c r="C165" i="62" s="1"/>
  <c r="C13" i="61"/>
  <c r="D13" i="61"/>
  <c r="E29" i="59"/>
  <c r="G16" i="59"/>
  <c r="F16" i="59"/>
  <c r="H28" i="59"/>
  <c r="H16" i="59"/>
  <c r="H57" i="59"/>
  <c r="G57" i="59"/>
  <c r="F57" i="59"/>
  <c r="H77" i="59"/>
  <c r="G77" i="59"/>
  <c r="F77" i="59"/>
  <c r="D144" i="62" l="1"/>
  <c r="D145" i="62" s="1"/>
  <c r="D126" i="62"/>
  <c r="D205" i="62" s="1"/>
  <c r="D204" i="62"/>
  <c r="H18" i="59"/>
  <c r="F18" i="59"/>
  <c r="H30" i="59"/>
  <c r="E31" i="59"/>
  <c r="G18" i="59"/>
  <c r="C144" i="62" l="1"/>
  <c r="D153" i="62"/>
  <c r="C145" i="62"/>
  <c r="D149" i="62"/>
  <c r="D148" i="62"/>
  <c r="D150" i="62"/>
  <c r="D152" i="62"/>
  <c r="D151" i="62"/>
  <c r="E33" i="59"/>
  <c r="H20" i="59"/>
  <c r="F20" i="59"/>
  <c r="H32" i="59"/>
  <c r="G20" i="59"/>
  <c r="D154" i="62" l="1"/>
  <c r="D167" i="62" s="1"/>
  <c r="E35" i="59"/>
  <c r="H34" i="59"/>
  <c r="G22" i="59"/>
  <c r="F22" i="59"/>
  <c r="H22" i="59"/>
  <c r="G92" i="60"/>
  <c r="H92" i="60"/>
  <c r="I92" i="60"/>
  <c r="G90" i="60"/>
  <c r="H90" i="60"/>
  <c r="I90" i="60"/>
  <c r="G88" i="60"/>
  <c r="H88" i="60"/>
  <c r="I88" i="60"/>
  <c r="G86" i="60"/>
  <c r="H86" i="60"/>
  <c r="I86" i="60"/>
  <c r="G84" i="60"/>
  <c r="H84" i="60"/>
  <c r="I84" i="60"/>
  <c r="G82" i="60"/>
  <c r="H82" i="60"/>
  <c r="I82" i="60"/>
  <c r="G80" i="60"/>
  <c r="H80" i="60"/>
  <c r="I80" i="60"/>
  <c r="G78" i="60"/>
  <c r="H78" i="60"/>
  <c r="I78" i="60"/>
  <c r="G76" i="60"/>
  <c r="H76" i="60"/>
  <c r="I76" i="60"/>
  <c r="G74" i="60"/>
  <c r="H74" i="60"/>
  <c r="I74" i="60"/>
  <c r="G72" i="60"/>
  <c r="H72" i="60"/>
  <c r="I72" i="60"/>
  <c r="G70" i="60"/>
  <c r="H70" i="60"/>
  <c r="I70" i="60"/>
  <c r="G68" i="60"/>
  <c r="H68" i="60"/>
  <c r="I68" i="60"/>
  <c r="G64" i="60"/>
  <c r="H64" i="60"/>
  <c r="I64" i="60"/>
  <c r="G62" i="60"/>
  <c r="H62" i="60"/>
  <c r="I62" i="60"/>
  <c r="G60" i="60"/>
  <c r="H60" i="60"/>
  <c r="I60" i="60"/>
  <c r="G58" i="60"/>
  <c r="H58" i="60"/>
  <c r="I58" i="60"/>
  <c r="G56" i="60"/>
  <c r="H56" i="60"/>
  <c r="I56" i="60"/>
  <c r="G54" i="60"/>
  <c r="H54" i="60"/>
  <c r="I54" i="60"/>
  <c r="G52" i="60"/>
  <c r="H52" i="60"/>
  <c r="I52" i="60"/>
  <c r="G50" i="60"/>
  <c r="H50" i="60"/>
  <c r="I50" i="60"/>
  <c r="G48" i="60"/>
  <c r="H48" i="60"/>
  <c r="I48" i="60"/>
  <c r="G46" i="60"/>
  <c r="H46" i="60"/>
  <c r="I46" i="60"/>
  <c r="G44" i="60"/>
  <c r="H44" i="60"/>
  <c r="I44" i="60"/>
  <c r="G42" i="60"/>
  <c r="H42" i="60"/>
  <c r="I42" i="60"/>
  <c r="G40" i="60"/>
  <c r="H40" i="60"/>
  <c r="I40" i="60"/>
  <c r="G38" i="60"/>
  <c r="H38" i="60"/>
  <c r="I38" i="60"/>
  <c r="G36" i="60"/>
  <c r="H36" i="60"/>
  <c r="I36" i="60"/>
  <c r="G34" i="60"/>
  <c r="H34" i="60"/>
  <c r="I34" i="60"/>
  <c r="G32" i="60"/>
  <c r="H32" i="60"/>
  <c r="I32" i="60"/>
  <c r="G30" i="60"/>
  <c r="H30" i="60"/>
  <c r="I30" i="60"/>
  <c r="G28" i="60"/>
  <c r="H28" i="60"/>
  <c r="I28" i="60"/>
  <c r="G26" i="60"/>
  <c r="H26" i="60"/>
  <c r="I26" i="60"/>
  <c r="G24" i="60"/>
  <c r="H24" i="60"/>
  <c r="I24" i="60"/>
  <c r="G22" i="60"/>
  <c r="H22" i="60"/>
  <c r="I22" i="60"/>
  <c r="G20" i="60"/>
  <c r="H20" i="60"/>
  <c r="I20" i="60"/>
  <c r="G18" i="60"/>
  <c r="H18" i="60"/>
  <c r="I18" i="60"/>
  <c r="G16" i="60"/>
  <c r="H16" i="60"/>
  <c r="I16" i="60"/>
  <c r="G14" i="60"/>
  <c r="H14" i="60"/>
  <c r="I14" i="60"/>
  <c r="G12" i="60"/>
  <c r="H12" i="60"/>
  <c r="I12" i="60"/>
  <c r="G10" i="60"/>
  <c r="H10" i="60"/>
  <c r="I10" i="60"/>
  <c r="G8" i="60"/>
  <c r="H8" i="60"/>
  <c r="I8" i="60"/>
  <c r="G6" i="60"/>
  <c r="H6" i="60"/>
  <c r="I6" i="60"/>
  <c r="H20" i="41"/>
  <c r="H18" i="41"/>
  <c r="D171" i="62" l="1"/>
  <c r="D172" i="62" s="1"/>
  <c r="C167" i="62"/>
  <c r="N3" i="61"/>
  <c r="D23" i="61" s="1"/>
  <c r="G109" i="60"/>
  <c r="F3" i="61" s="1"/>
  <c r="D15" i="61" s="1"/>
  <c r="K3" i="61"/>
  <c r="D20" i="61" s="1"/>
  <c r="H3" i="61"/>
  <c r="D17" i="61" s="1"/>
  <c r="P3" i="61"/>
  <c r="D25" i="61" s="1"/>
  <c r="I109" i="60"/>
  <c r="L3" i="61" s="1"/>
  <c r="D21" i="61" s="1"/>
  <c r="Q3" i="61"/>
  <c r="D26" i="61" s="1"/>
  <c r="H109" i="60"/>
  <c r="I3" i="61" s="1"/>
  <c r="D18" i="61" s="1"/>
  <c r="O3" i="61"/>
  <c r="D24" i="61" s="1"/>
  <c r="G3" i="61"/>
  <c r="D16" i="61" s="1"/>
  <c r="M3" i="61"/>
  <c r="D22" i="61" s="1"/>
  <c r="E3" i="61"/>
  <c r="D14" i="61" s="1"/>
  <c r="J3" i="61"/>
  <c r="D19" i="61" s="1"/>
  <c r="H36" i="59"/>
  <c r="D206" i="62" l="1"/>
  <c r="F80" i="59"/>
  <c r="G80" i="59"/>
  <c r="F106" i="59"/>
  <c r="G106" i="59"/>
  <c r="H106" i="59"/>
  <c r="F68" i="59"/>
  <c r="G68" i="59"/>
  <c r="H68" i="59"/>
  <c r="F100" i="59"/>
  <c r="G100" i="59"/>
  <c r="H100" i="59"/>
  <c r="G96" i="59"/>
  <c r="H96" i="59"/>
  <c r="F78" i="59"/>
  <c r="G78" i="59"/>
  <c r="H78" i="59"/>
  <c r="F76" i="59"/>
  <c r="G76" i="59"/>
  <c r="H76" i="59"/>
  <c r="H73" i="59"/>
  <c r="H74" i="59" s="1"/>
  <c r="G73" i="59"/>
  <c r="G74" i="59" s="1"/>
  <c r="F73" i="59"/>
  <c r="F74" i="59" s="1"/>
  <c r="F72" i="59"/>
  <c r="G72" i="59"/>
  <c r="H72" i="59"/>
  <c r="F70" i="59"/>
  <c r="G70" i="59"/>
  <c r="H70" i="59"/>
  <c r="F66" i="59"/>
  <c r="F64" i="59"/>
  <c r="G64" i="59"/>
  <c r="H64" i="59"/>
  <c r="F62" i="59"/>
  <c r="G62" i="59"/>
  <c r="H62" i="59"/>
  <c r="F60" i="59"/>
  <c r="G60" i="59"/>
  <c r="H60" i="59"/>
  <c r="F58" i="59"/>
  <c r="G58" i="59"/>
  <c r="H58" i="59"/>
  <c r="F54" i="59"/>
  <c r="G54" i="59"/>
  <c r="H54" i="59"/>
  <c r="F56" i="59"/>
  <c r="G56" i="59"/>
  <c r="H56" i="59"/>
  <c r="F52" i="59"/>
  <c r="G52" i="59"/>
  <c r="H52" i="59"/>
  <c r="F40" i="59"/>
  <c r="G40" i="59"/>
  <c r="H40" i="59"/>
  <c r="F30" i="59"/>
  <c r="G30" i="59"/>
  <c r="G108" i="59"/>
  <c r="H108" i="59"/>
  <c r="H7" i="59"/>
  <c r="H8" i="59" s="1"/>
  <c r="F8" i="59"/>
  <c r="G8" i="59"/>
  <c r="H66" i="59"/>
  <c r="H98" i="59"/>
  <c r="H104" i="59"/>
  <c r="H102" i="59"/>
  <c r="H50" i="59"/>
  <c r="H44" i="59"/>
  <c r="H46" i="59"/>
  <c r="H48" i="59"/>
  <c r="H42" i="59"/>
  <c r="H38" i="59"/>
  <c r="H10" i="59"/>
  <c r="H6" i="59"/>
  <c r="G66" i="59"/>
  <c r="G98" i="59"/>
  <c r="G104" i="59"/>
  <c r="G102" i="59"/>
  <c r="G82" i="59"/>
  <c r="G50" i="59"/>
  <c r="G44" i="59"/>
  <c r="G46" i="59"/>
  <c r="G48" i="59"/>
  <c r="G42" i="59"/>
  <c r="G36" i="59"/>
  <c r="G38" i="59"/>
  <c r="G34" i="59"/>
  <c r="G32" i="59"/>
  <c r="G28" i="59"/>
  <c r="G26" i="59"/>
  <c r="G10" i="59"/>
  <c r="G6" i="59"/>
  <c r="D3" i="61" l="1"/>
  <c r="D12" i="61" s="1"/>
  <c r="M5" i="61"/>
  <c r="E22" i="61" s="1"/>
  <c r="I110" i="60"/>
  <c r="I111" i="60" s="1"/>
  <c r="D180" i="56" s="1"/>
  <c r="L5" i="61"/>
  <c r="E21" i="61" s="1"/>
  <c r="E5" i="61"/>
  <c r="E14" i="61" s="1"/>
  <c r="K5" i="61"/>
  <c r="E20" i="61" s="1"/>
  <c r="N5" i="61"/>
  <c r="E23" i="61" s="1"/>
  <c r="G5" i="61"/>
  <c r="E16" i="61" s="1"/>
  <c r="J5" i="61"/>
  <c r="E19" i="61" s="1"/>
  <c r="Q5" i="61"/>
  <c r="E26" i="61" s="1"/>
  <c r="H110" i="60"/>
  <c r="I5" i="61"/>
  <c r="E18" i="61" s="1"/>
  <c r="P5" i="61"/>
  <c r="E25" i="61" s="1"/>
  <c r="O5" i="61"/>
  <c r="E24" i="61" s="1"/>
  <c r="H17" i="41"/>
  <c r="F98" i="59"/>
  <c r="F104" i="59"/>
  <c r="F102" i="59"/>
  <c r="F82" i="59"/>
  <c r="F50" i="59"/>
  <c r="F44" i="59"/>
  <c r="F46" i="59"/>
  <c r="F48" i="59"/>
  <c r="F42" i="59"/>
  <c r="F36" i="59"/>
  <c r="F38" i="59"/>
  <c r="F34" i="59"/>
  <c r="F32" i="59"/>
  <c r="F28" i="59"/>
  <c r="F26" i="59"/>
  <c r="F10" i="59"/>
  <c r="F6" i="59"/>
  <c r="H111" i="60" l="1"/>
  <c r="D180" i="50" s="1"/>
  <c r="D2" i="61"/>
  <c r="G111" i="60"/>
  <c r="F5" i="61"/>
  <c r="E15" i="61" s="1"/>
  <c r="H12" i="59"/>
  <c r="H107" i="59" s="1"/>
  <c r="F12" i="59"/>
  <c r="F107" i="59" s="1"/>
  <c r="G12" i="59"/>
  <c r="G107" i="59" s="1"/>
  <c r="D180" i="45" l="1"/>
  <c r="D180" i="62"/>
  <c r="P2" i="61"/>
  <c r="Q2" i="61"/>
  <c r="L2" i="61"/>
  <c r="H2" i="61"/>
  <c r="C17" i="61" s="1"/>
  <c r="F17" i="61" s="1"/>
  <c r="N2" i="61"/>
  <c r="O2" i="61"/>
  <c r="I2" i="61"/>
  <c r="J2" i="61"/>
  <c r="C19" i="61" s="1"/>
  <c r="F19" i="61" s="1"/>
  <c r="K2" i="61"/>
  <c r="E2" i="61"/>
  <c r="M2" i="61"/>
  <c r="G2" i="61"/>
  <c r="G6" i="61" s="1"/>
  <c r="F2" i="61"/>
  <c r="E13" i="61"/>
  <c r="F13" i="61" s="1"/>
  <c r="C12" i="61"/>
  <c r="H19" i="41"/>
  <c r="H23" i="41" l="1"/>
  <c r="D178" i="50" s="1"/>
  <c r="G109" i="59"/>
  <c r="D179" i="50" s="1"/>
  <c r="C23" i="61"/>
  <c r="F23" i="61" s="1"/>
  <c r="N6" i="61"/>
  <c r="H109" i="59"/>
  <c r="D179" i="56" s="1"/>
  <c r="H22" i="41"/>
  <c r="I6" i="61"/>
  <c r="C18" i="61"/>
  <c r="F18" i="61" s="1"/>
  <c r="F109" i="59"/>
  <c r="C24" i="61"/>
  <c r="F24" i="61" s="1"/>
  <c r="O6" i="61"/>
  <c r="C20" i="61"/>
  <c r="F20" i="61" s="1"/>
  <c r="K6" i="61"/>
  <c r="L6" i="61"/>
  <c r="C21" i="61"/>
  <c r="F21" i="61" s="1"/>
  <c r="C14" i="61"/>
  <c r="F14" i="61" s="1"/>
  <c r="E6" i="61"/>
  <c r="C26" i="61"/>
  <c r="F26" i="61" s="1"/>
  <c r="Q6" i="61"/>
  <c r="M6" i="61"/>
  <c r="C22" i="61"/>
  <c r="F22" i="61" s="1"/>
  <c r="F6" i="61"/>
  <c r="C15" i="61"/>
  <c r="F15" i="61" s="1"/>
  <c r="C25" i="61"/>
  <c r="F25" i="61" s="1"/>
  <c r="P6" i="61"/>
  <c r="J6" i="61"/>
  <c r="C16" i="61"/>
  <c r="F16" i="61" s="1"/>
  <c r="H6" i="61"/>
  <c r="D76" i="56"/>
  <c r="D74" i="56"/>
  <c r="C73" i="56"/>
  <c r="D72" i="56"/>
  <c r="D70" i="56"/>
  <c r="D76" i="50"/>
  <c r="D74" i="50"/>
  <c r="C73" i="50"/>
  <c r="D72" i="50"/>
  <c r="D70" i="50"/>
  <c r="C32" i="50"/>
  <c r="C36" i="50"/>
  <c r="C37" i="50"/>
  <c r="D76" i="45"/>
  <c r="D74" i="45"/>
  <c r="C73" i="45"/>
  <c r="D72" i="45"/>
  <c r="D70" i="45"/>
  <c r="C11" i="50"/>
  <c r="B215" i="50" s="1"/>
  <c r="C11" i="56"/>
  <c r="B215" i="56" s="1"/>
  <c r="C11" i="45"/>
  <c r="B215" i="45" s="1"/>
  <c r="D178" i="45" l="1"/>
  <c r="D178" i="62"/>
  <c r="D179" i="45"/>
  <c r="D179" i="62"/>
  <c r="D5" i="61"/>
  <c r="E12" i="61" s="1"/>
  <c r="D71" i="56"/>
  <c r="D69" i="56" s="1"/>
  <c r="D71" i="50"/>
  <c r="D69" i="50" s="1"/>
  <c r="D71" i="45"/>
  <c r="D69" i="45" s="1"/>
  <c r="D183" i="62" l="1"/>
  <c r="F12" i="61"/>
  <c r="D6" i="61"/>
  <c r="H24" i="41"/>
  <c r="D178" i="56" s="1"/>
  <c r="D207" i="62" l="1"/>
  <c r="D208" i="62" s="1"/>
  <c r="D185" i="62"/>
  <c r="D190" i="62" s="1"/>
  <c r="D191" i="62" s="1"/>
  <c r="D192" i="62" s="1"/>
  <c r="D193" i="62" s="1"/>
  <c r="F5" i="41"/>
  <c r="H5" i="41" s="1"/>
  <c r="D196" i="62" l="1"/>
  <c r="D195" i="62"/>
  <c r="D197" i="62"/>
  <c r="C198" i="56"/>
  <c r="C199" i="56" s="1"/>
  <c r="C157" i="56"/>
  <c r="C153" i="56"/>
  <c r="C164" i="56" s="1"/>
  <c r="C152" i="56"/>
  <c r="D73" i="56" s="1"/>
  <c r="C151" i="56"/>
  <c r="C150" i="56"/>
  <c r="C149" i="56"/>
  <c r="C148" i="56"/>
  <c r="C141" i="56"/>
  <c r="C131" i="56"/>
  <c r="C124" i="56"/>
  <c r="C120" i="56"/>
  <c r="C119" i="56"/>
  <c r="C109" i="56"/>
  <c r="C105" i="56"/>
  <c r="C104" i="56"/>
  <c r="C102" i="56"/>
  <c r="C98" i="56"/>
  <c r="C96" i="56" s="1"/>
  <c r="C97" i="56"/>
  <c r="C94" i="56"/>
  <c r="C91" i="56"/>
  <c r="C90" i="56"/>
  <c r="C89" i="56"/>
  <c r="D67" i="56"/>
  <c r="C63" i="56"/>
  <c r="C142" i="56" s="1"/>
  <c r="C52" i="56"/>
  <c r="C80" i="56" s="1"/>
  <c r="C50" i="56"/>
  <c r="D43" i="56"/>
  <c r="C37" i="56"/>
  <c r="C36" i="56"/>
  <c r="C32" i="56"/>
  <c r="C198" i="50"/>
  <c r="C199" i="50" s="1"/>
  <c r="C153" i="50"/>
  <c r="C164" i="50" s="1"/>
  <c r="C152" i="50"/>
  <c r="D73" i="50" s="1"/>
  <c r="C151" i="50"/>
  <c r="C150" i="50"/>
  <c r="C149" i="50"/>
  <c r="C148" i="50"/>
  <c r="C141" i="50"/>
  <c r="C131" i="50"/>
  <c r="C124" i="50"/>
  <c r="C120" i="50"/>
  <c r="C119" i="50"/>
  <c r="C109" i="50"/>
  <c r="C105" i="50"/>
  <c r="C104" i="50"/>
  <c r="C102" i="50"/>
  <c r="C98" i="50"/>
  <c r="C96" i="50" s="1"/>
  <c r="C97" i="50"/>
  <c r="C94" i="50"/>
  <c r="C91" i="50"/>
  <c r="C90" i="50"/>
  <c r="C89" i="50"/>
  <c r="D67" i="50"/>
  <c r="C63" i="50"/>
  <c r="C142" i="50" s="1"/>
  <c r="C51" i="50"/>
  <c r="C50" i="50"/>
  <c r="D43" i="50"/>
  <c r="C198" i="45"/>
  <c r="C199" i="45" s="1"/>
  <c r="C153" i="45"/>
  <c r="C164" i="45" s="1"/>
  <c r="C152" i="45"/>
  <c r="D73" i="45" s="1"/>
  <c r="C151" i="45"/>
  <c r="C150" i="45"/>
  <c r="C149" i="45"/>
  <c r="C148" i="45"/>
  <c r="C141" i="45"/>
  <c r="C131" i="45"/>
  <c r="C124" i="45"/>
  <c r="C120" i="45"/>
  <c r="C119" i="45"/>
  <c r="C109" i="45"/>
  <c r="C105" i="45"/>
  <c r="C104" i="45"/>
  <c r="C102" i="45"/>
  <c r="C98" i="45"/>
  <c r="C96" i="45" s="1"/>
  <c r="C97" i="45"/>
  <c r="C94" i="45"/>
  <c r="C91" i="45"/>
  <c r="C90" i="45"/>
  <c r="C89" i="45"/>
  <c r="D67" i="45"/>
  <c r="C63" i="45"/>
  <c r="C142" i="45" s="1"/>
  <c r="C51" i="45"/>
  <c r="C52" i="45" s="1"/>
  <c r="C80" i="45" s="1"/>
  <c r="C50" i="45"/>
  <c r="D43" i="45"/>
  <c r="C37" i="45"/>
  <c r="C36" i="45"/>
  <c r="C32" i="45"/>
  <c r="D198" i="62" l="1"/>
  <c r="D199" i="62" s="1"/>
  <c r="D209" i="62" s="1"/>
  <c r="D210" i="62" s="1"/>
  <c r="C215" i="62" s="1"/>
  <c r="D215" i="62" s="1"/>
  <c r="E6" i="38" s="1"/>
  <c r="H6" i="38" s="1"/>
  <c r="J6" i="38" s="1"/>
  <c r="C154" i="50"/>
  <c r="C160" i="50" s="1"/>
  <c r="C52" i="50"/>
  <c r="C80" i="50" s="1"/>
  <c r="C157" i="50"/>
  <c r="C162" i="50"/>
  <c r="C154" i="45"/>
  <c r="C160" i="45" s="1"/>
  <c r="C154" i="56"/>
  <c r="C161" i="56" s="1"/>
  <c r="D161" i="56" s="1"/>
  <c r="C162" i="56"/>
  <c r="D42" i="56"/>
  <c r="D45" i="56" s="1"/>
  <c r="C81" i="50"/>
  <c r="C106" i="50"/>
  <c r="C81" i="56"/>
  <c r="C135" i="56"/>
  <c r="C106" i="56"/>
  <c r="D27" i="50"/>
  <c r="C106" i="45"/>
  <c r="C81" i="45"/>
  <c r="C163" i="56"/>
  <c r="C135" i="50"/>
  <c r="C163" i="50"/>
  <c r="D29" i="45"/>
  <c r="D28" i="45"/>
  <c r="D42" i="45"/>
  <c r="D45" i="45" s="1"/>
  <c r="D68" i="45"/>
  <c r="D66" i="45" s="1"/>
  <c r="C135" i="45"/>
  <c r="C157" i="45"/>
  <c r="C162" i="45"/>
  <c r="C163" i="45"/>
  <c r="C161" i="50" l="1"/>
  <c r="D161" i="50" s="1"/>
  <c r="D36" i="45"/>
  <c r="D35" i="45"/>
  <c r="D37" i="45"/>
  <c r="C161" i="45"/>
  <c r="D161" i="45" s="1"/>
  <c r="C160" i="56"/>
  <c r="D29" i="50"/>
  <c r="D28" i="56"/>
  <c r="D29" i="56"/>
  <c r="D68" i="56"/>
  <c r="D66" i="56" s="1"/>
  <c r="D42" i="50"/>
  <c r="D45" i="50" s="1"/>
  <c r="D28" i="50"/>
  <c r="D68" i="50"/>
  <c r="D66" i="50" s="1"/>
  <c r="D160" i="50" s="1"/>
  <c r="D31" i="45"/>
  <c r="D34" i="45"/>
  <c r="D160" i="45"/>
  <c r="D32" i="45"/>
  <c r="F11" i="41"/>
  <c r="H11" i="41" s="1"/>
  <c r="F10" i="41"/>
  <c r="H10" i="41" s="1"/>
  <c r="F9" i="41"/>
  <c r="H9" i="41" s="1"/>
  <c r="F8" i="41"/>
  <c r="H8" i="41" s="1"/>
  <c r="F7" i="41"/>
  <c r="H7" i="41" s="1"/>
  <c r="F6" i="41"/>
  <c r="H6" i="41" s="1"/>
  <c r="D30" i="45" l="1"/>
  <c r="H12" i="41"/>
  <c r="D177" i="50" s="1"/>
  <c r="D183" i="50" s="1"/>
  <c r="D160" i="56"/>
  <c r="D32" i="50"/>
  <c r="D37" i="50"/>
  <c r="D31" i="50"/>
  <c r="D36" i="50"/>
  <c r="D35" i="50"/>
  <c r="D34" i="50"/>
  <c r="D31" i="56"/>
  <c r="D34" i="56"/>
  <c r="D36" i="56"/>
  <c r="D37" i="56"/>
  <c r="D35" i="56"/>
  <c r="D32" i="56"/>
  <c r="D33" i="45"/>
  <c r="D177" i="45" l="1"/>
  <c r="D183" i="45" s="1"/>
  <c r="D177" i="56"/>
  <c r="D183" i="56" s="1"/>
  <c r="D30" i="50"/>
  <c r="D33" i="50"/>
  <c r="D30" i="56"/>
  <c r="D33" i="56"/>
  <c r="D39" i="45"/>
  <c r="D96" i="45" l="1"/>
  <c r="D75" i="45"/>
  <c r="D39" i="56"/>
  <c r="D207" i="45"/>
  <c r="D207" i="56"/>
  <c r="D207" i="50"/>
  <c r="D39" i="50"/>
  <c r="D140" i="45"/>
  <c r="D158" i="45" s="1"/>
  <c r="C114" i="45"/>
  <c r="D114" i="45" s="1"/>
  <c r="D50" i="45"/>
  <c r="D132" i="45"/>
  <c r="D203" i="45"/>
  <c r="D97" i="45"/>
  <c r="D51" i="45"/>
  <c r="C134" i="45" s="1"/>
  <c r="D134" i="45" s="1"/>
  <c r="D103" i="45"/>
  <c r="D105" i="45" s="1"/>
  <c r="C132" i="45"/>
  <c r="D162" i="45"/>
  <c r="D89" i="45"/>
  <c r="D91" i="45" s="1"/>
  <c r="D98" i="45"/>
  <c r="C45" i="45"/>
  <c r="D137" i="45"/>
  <c r="C138" i="45" s="1"/>
  <c r="D162" i="56"/>
  <c r="D140" i="56" l="1"/>
  <c r="D158" i="56" s="1"/>
  <c r="D51" i="56"/>
  <c r="C134" i="56" s="1"/>
  <c r="D134" i="56" s="1"/>
  <c r="C115" i="45"/>
  <c r="D115" i="45" s="1"/>
  <c r="D116" i="45" s="1"/>
  <c r="D125" i="45" s="1"/>
  <c r="D103" i="56"/>
  <c r="D105" i="56" s="1"/>
  <c r="D96" i="56"/>
  <c r="D89" i="56"/>
  <c r="D90" i="56" s="1"/>
  <c r="D92" i="56" s="1"/>
  <c r="D137" i="56"/>
  <c r="C138" i="56" s="1"/>
  <c r="D132" i="56"/>
  <c r="D98" i="56"/>
  <c r="D203" i="56"/>
  <c r="C114" i="56"/>
  <c r="C115" i="56" s="1"/>
  <c r="D115" i="56" s="1"/>
  <c r="C45" i="56"/>
  <c r="D97" i="56"/>
  <c r="C132" i="56"/>
  <c r="D98" i="50"/>
  <c r="D75" i="50"/>
  <c r="D50" i="56"/>
  <c r="C133" i="56" s="1"/>
  <c r="D133" i="56" s="1"/>
  <c r="D75" i="56"/>
  <c r="D77" i="56" s="1"/>
  <c r="D82" i="56" s="1"/>
  <c r="D89" i="50"/>
  <c r="D91" i="50" s="1"/>
  <c r="D52" i="45"/>
  <c r="D57" i="45" s="1"/>
  <c r="C133" i="45"/>
  <c r="D133" i="45" s="1"/>
  <c r="D135" i="45" s="1"/>
  <c r="D137" i="50"/>
  <c r="C138" i="50" s="1"/>
  <c r="D97" i="50"/>
  <c r="C114" i="50"/>
  <c r="D114" i="50" s="1"/>
  <c r="D51" i="50"/>
  <c r="C134" i="50" s="1"/>
  <c r="D134" i="50" s="1"/>
  <c r="D103" i="50"/>
  <c r="D104" i="50" s="1"/>
  <c r="C132" i="50"/>
  <c r="D162" i="50"/>
  <c r="D157" i="45"/>
  <c r="D50" i="50"/>
  <c r="C133" i="50" s="1"/>
  <c r="D133" i="50" s="1"/>
  <c r="D203" i="50"/>
  <c r="D132" i="50"/>
  <c r="D96" i="50"/>
  <c r="D140" i="50"/>
  <c r="D158" i="50" s="1"/>
  <c r="C45" i="50"/>
  <c r="D141" i="45"/>
  <c r="D159" i="45" s="1"/>
  <c r="D141" i="56"/>
  <c r="D159" i="56" s="1"/>
  <c r="D104" i="45"/>
  <c r="D106" i="45" s="1"/>
  <c r="D95" i="45"/>
  <c r="D110" i="45" s="1"/>
  <c r="D109" i="45" s="1"/>
  <c r="D108" i="45" s="1"/>
  <c r="D77" i="45"/>
  <c r="D82" i="45" s="1"/>
  <c r="D157" i="56"/>
  <c r="D90" i="45"/>
  <c r="D92" i="45" s="1"/>
  <c r="C116" i="45" l="1"/>
  <c r="D135" i="56"/>
  <c r="D104" i="56"/>
  <c r="D106" i="56" s="1"/>
  <c r="C116" i="56"/>
  <c r="D114" i="56"/>
  <c r="D116" i="56" s="1"/>
  <c r="D123" i="56" s="1"/>
  <c r="D91" i="56"/>
  <c r="D88" i="56" s="1"/>
  <c r="D95" i="56"/>
  <c r="D110" i="56" s="1"/>
  <c r="D109" i="56" s="1"/>
  <c r="D108" i="56" s="1"/>
  <c r="D52" i="56"/>
  <c r="D59" i="56" s="1"/>
  <c r="D59" i="45"/>
  <c r="D56" i="45"/>
  <c r="D58" i="45"/>
  <c r="D80" i="45"/>
  <c r="D55" i="45"/>
  <c r="D60" i="45"/>
  <c r="D62" i="45"/>
  <c r="D61" i="45"/>
  <c r="D141" i="50"/>
  <c r="D159" i="50" s="1"/>
  <c r="D90" i="50"/>
  <c r="D92" i="50" s="1"/>
  <c r="D95" i="50"/>
  <c r="D110" i="50" s="1"/>
  <c r="D109" i="50" s="1"/>
  <c r="D108" i="50" s="1"/>
  <c r="D77" i="50"/>
  <c r="D143" i="50" s="1"/>
  <c r="C143" i="50" s="1"/>
  <c r="D105" i="50"/>
  <c r="D157" i="50"/>
  <c r="D135" i="50"/>
  <c r="C115" i="50"/>
  <c r="D115" i="50" s="1"/>
  <c r="D116" i="50" s="1"/>
  <c r="D52" i="50"/>
  <c r="D55" i="50" s="1"/>
  <c r="D142" i="56"/>
  <c r="D164" i="56" s="1"/>
  <c r="D142" i="45"/>
  <c r="D164" i="45" s="1"/>
  <c r="C82" i="45"/>
  <c r="D94" i="45"/>
  <c r="D93" i="45" s="1"/>
  <c r="D143" i="45"/>
  <c r="C143" i="45" s="1"/>
  <c r="D107" i="45"/>
  <c r="D102" i="45" s="1"/>
  <c r="D111" i="45" s="1"/>
  <c r="D120" i="45" s="1"/>
  <c r="D88" i="45"/>
  <c r="D106" i="50"/>
  <c r="C82" i="56"/>
  <c r="D143" i="56"/>
  <c r="C143" i="56" s="1"/>
  <c r="D107" i="56"/>
  <c r="D123" i="45"/>
  <c r="D62" i="56" l="1"/>
  <c r="D56" i="56"/>
  <c r="D60" i="56"/>
  <c r="D58" i="56"/>
  <c r="D57" i="56"/>
  <c r="D125" i="56"/>
  <c r="D61" i="56"/>
  <c r="D55" i="56"/>
  <c r="D94" i="56"/>
  <c r="D93" i="56" s="1"/>
  <c r="D99" i="56" s="1"/>
  <c r="D119" i="56" s="1"/>
  <c r="D80" i="56"/>
  <c r="D102" i="56"/>
  <c r="D111" i="56" s="1"/>
  <c r="D120" i="56" s="1"/>
  <c r="D58" i="50"/>
  <c r="D63" i="45"/>
  <c r="D81" i="45" s="1"/>
  <c r="D83" i="45" s="1"/>
  <c r="D204" i="45" s="1"/>
  <c r="D163" i="45"/>
  <c r="D165" i="45" s="1"/>
  <c r="C165" i="45" s="1"/>
  <c r="D142" i="50"/>
  <c r="D164" i="50" s="1"/>
  <c r="D62" i="50"/>
  <c r="D57" i="50"/>
  <c r="D59" i="50"/>
  <c r="D88" i="50"/>
  <c r="D94" i="50"/>
  <c r="D93" i="50" s="1"/>
  <c r="D82" i="50"/>
  <c r="D107" i="50"/>
  <c r="D102" i="50" s="1"/>
  <c r="D111" i="50" s="1"/>
  <c r="D120" i="50" s="1"/>
  <c r="C116" i="50"/>
  <c r="C82" i="50"/>
  <c r="D123" i="50"/>
  <c r="D125" i="50"/>
  <c r="D60" i="50"/>
  <c r="D61" i="50"/>
  <c r="D80" i="50"/>
  <c r="D56" i="50"/>
  <c r="D99" i="45"/>
  <c r="D119" i="45" s="1"/>
  <c r="D121" i="45" s="1"/>
  <c r="D122" i="45" s="1"/>
  <c r="D124" i="45" s="1"/>
  <c r="C136" i="45" s="1"/>
  <c r="D136" i="45" s="1"/>
  <c r="D131" i="45" s="1"/>
  <c r="D138" i="45" s="1"/>
  <c r="D170" i="45" s="1"/>
  <c r="D63" i="56" l="1"/>
  <c r="D81" i="56" s="1"/>
  <c r="D83" i="56" s="1"/>
  <c r="D204" i="56" s="1"/>
  <c r="D163" i="56"/>
  <c r="D165" i="56" s="1"/>
  <c r="C165" i="56" s="1"/>
  <c r="D121" i="56"/>
  <c r="D122" i="56" s="1"/>
  <c r="D124" i="56" s="1"/>
  <c r="C136" i="56" s="1"/>
  <c r="D136" i="56" s="1"/>
  <c r="D131" i="56" s="1"/>
  <c r="D138" i="56" s="1"/>
  <c r="D170" i="56" s="1"/>
  <c r="D99" i="50"/>
  <c r="D119" i="50" s="1"/>
  <c r="D121" i="50" s="1"/>
  <c r="D122" i="50" s="1"/>
  <c r="D124" i="50" s="1"/>
  <c r="D144" i="50" s="1"/>
  <c r="D145" i="50" s="1"/>
  <c r="D163" i="50"/>
  <c r="D165" i="50" s="1"/>
  <c r="C165" i="50" s="1"/>
  <c r="D63" i="50"/>
  <c r="D81" i="50" s="1"/>
  <c r="D83" i="50" s="1"/>
  <c r="D204" i="50" s="1"/>
  <c r="D144" i="45"/>
  <c r="C144" i="45" s="1"/>
  <c r="D126" i="45"/>
  <c r="D205" i="45" s="1"/>
  <c r="D126" i="56" l="1"/>
  <c r="D205" i="56" s="1"/>
  <c r="D144" i="56"/>
  <c r="D145" i="56" s="1"/>
  <c r="C145" i="56" s="1"/>
  <c r="C136" i="50"/>
  <c r="D136" i="50" s="1"/>
  <c r="D131" i="50" s="1"/>
  <c r="D138" i="50" s="1"/>
  <c r="D170" i="50" s="1"/>
  <c r="D126" i="50"/>
  <c r="D205" i="50" s="1"/>
  <c r="C144" i="50"/>
  <c r="D145" i="45"/>
  <c r="D150" i="45" s="1"/>
  <c r="D149" i="50"/>
  <c r="C145" i="50"/>
  <c r="D153" i="50"/>
  <c r="D151" i="50"/>
  <c r="D150" i="50"/>
  <c r="D148" i="50"/>
  <c r="D152" i="50"/>
  <c r="D149" i="56" l="1"/>
  <c r="D148" i="56"/>
  <c r="D152" i="56"/>
  <c r="D153" i="56"/>
  <c r="D150" i="56"/>
  <c r="D151" i="56"/>
  <c r="C144" i="56"/>
  <c r="D153" i="45"/>
  <c r="D149" i="45"/>
  <c r="C145" i="45"/>
  <c r="D152" i="45"/>
  <c r="D148" i="45"/>
  <c r="D151" i="45"/>
  <c r="D154" i="50"/>
  <c r="D167" i="50" s="1"/>
  <c r="D154" i="56" l="1"/>
  <c r="D167" i="56" s="1"/>
  <c r="D171" i="56" s="1"/>
  <c r="D172" i="56" s="1"/>
  <c r="D154" i="45"/>
  <c r="D167" i="45" s="1"/>
  <c r="C167" i="45" s="1"/>
  <c r="D171" i="50"/>
  <c r="D172" i="50" s="1"/>
  <c r="C167" i="50"/>
  <c r="C167" i="56" l="1"/>
  <c r="D171" i="45"/>
  <c r="D172" i="45" s="1"/>
  <c r="D206" i="45" s="1"/>
  <c r="D208" i="45" s="1"/>
  <c r="D206" i="56"/>
  <c r="D208" i="56" s="1"/>
  <c r="D185" i="56"/>
  <c r="D190" i="56" s="1"/>
  <c r="D191" i="56" s="1"/>
  <c r="D192" i="56" s="1"/>
  <c r="D193" i="56" s="1"/>
  <c r="D206" i="50"/>
  <c r="D208" i="50" s="1"/>
  <c r="D185" i="50"/>
  <c r="D185" i="45" l="1"/>
  <c r="D190" i="45" s="1"/>
  <c r="D191" i="45" s="1"/>
  <c r="D192" i="45" s="1"/>
  <c r="D193" i="45" s="1"/>
  <c r="D195" i="45" s="1"/>
  <c r="D197" i="56"/>
  <c r="D196" i="56"/>
  <c r="D195" i="56"/>
  <c r="D190" i="50"/>
  <c r="D191" i="50" s="1"/>
  <c r="D192" i="50" s="1"/>
  <c r="D193" i="50" s="1"/>
  <c r="D196" i="45" l="1"/>
  <c r="D197" i="45"/>
  <c r="D198" i="56"/>
  <c r="D199" i="56" s="1"/>
  <c r="D209" i="56" s="1"/>
  <c r="D210" i="56" s="1"/>
  <c r="D195" i="50"/>
  <c r="D197" i="50"/>
  <c r="D196" i="50"/>
  <c r="C215" i="56" l="1"/>
  <c r="D215" i="56" s="1"/>
  <c r="E8" i="38" s="1"/>
  <c r="D198" i="45"/>
  <c r="D199" i="45" s="1"/>
  <c r="D209" i="45" s="1"/>
  <c r="D198" i="50"/>
  <c r="D199" i="50" s="1"/>
  <c r="D209" i="50" s="1"/>
  <c r="D210" i="50" s="1"/>
  <c r="C215" i="50" l="1"/>
  <c r="D215" i="50" s="1"/>
  <c r="E7" i="38" s="1"/>
  <c r="H7" i="38" s="1"/>
  <c r="J7" i="38" s="1"/>
  <c r="D210" i="45"/>
  <c r="C215" i="45" s="1"/>
  <c r="D215" i="45" s="1"/>
  <c r="E5" i="38" s="1"/>
  <c r="H8" i="38"/>
  <c r="J8" i="38" s="1"/>
  <c r="H5" i="38" l="1"/>
  <c r="J5" i="38" s="1"/>
  <c r="H10" i="38" l="1"/>
  <c r="C16" i="35"/>
  <c r="D16" i="35" s="1"/>
  <c r="J10" i="38" l="1"/>
  <c r="E16" i="35"/>
  <c r="F16" i="35"/>
  <c r="C12" i="35"/>
  <c r="D12" i="35" s="1"/>
  <c r="C9" i="35"/>
  <c r="D9" i="35" s="1"/>
  <c r="C18" i="35"/>
  <c r="D18" i="35" s="1"/>
  <c r="C10" i="35"/>
  <c r="D10" i="35" s="1"/>
  <c r="C17" i="35"/>
  <c r="D17" i="35" s="1"/>
  <c r="C15" i="35"/>
  <c r="D15" i="35" s="1"/>
  <c r="C11" i="35"/>
  <c r="D11" i="35" s="1"/>
  <c r="C6" i="35"/>
  <c r="D6" i="35" s="1"/>
  <c r="C13" i="35" l="1"/>
  <c r="D13" i="35" s="1"/>
  <c r="F13" i="35" s="1"/>
  <c r="F11" i="35"/>
  <c r="E11" i="35"/>
  <c r="F9" i="35"/>
  <c r="E9" i="35"/>
  <c r="F15" i="35"/>
  <c r="E15" i="35"/>
  <c r="F10" i="35"/>
  <c r="E10" i="35"/>
  <c r="E6" i="35"/>
  <c r="F6" i="35"/>
  <c r="E17" i="35"/>
  <c r="F17" i="35"/>
  <c r="F18" i="35"/>
  <c r="E18" i="35"/>
  <c r="F12" i="35"/>
  <c r="E12" i="35"/>
  <c r="C7" i="35"/>
  <c r="D7" i="35" s="1"/>
  <c r="E13" i="35" l="1"/>
  <c r="F7" i="35"/>
  <c r="E7" i="35"/>
  <c r="C14" i="35"/>
  <c r="D14" i="35" s="1"/>
  <c r="F14" i="35" l="1"/>
  <c r="E14" i="35"/>
  <c r="C3" i="35" l="1"/>
  <c r="D3" i="35" s="1"/>
  <c r="F3" i="35" s="1"/>
  <c r="C8" i="35"/>
  <c r="D8" i="35" s="1"/>
  <c r="C4" i="35"/>
  <c r="D4" i="35" s="1"/>
  <c r="E3" i="35" l="1"/>
  <c r="F4" i="35"/>
  <c r="E4" i="35"/>
  <c r="F8" i="35"/>
  <c r="E8" i="35"/>
  <c r="C5" i="35"/>
  <c r="D5" i="35" s="1"/>
  <c r="F5" i="35" l="1"/>
  <c r="E5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LUAN LUCIO DA SILVA</author>
    <author>Luan Lucio da Silva</author>
  </authors>
  <commentList>
    <comment ref="G17" authorId="0" shapeId="0" xr:uid="{336E6926-7B24-4CB0-A0B2-3144D3528909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G18" authorId="0" shapeId="0" xr:uid="{87ADE4C9-D65E-4266-BA35-CDAEFE30FA3C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G19" authorId="0" shapeId="0" xr:uid="{4FA26718-ACF2-4579-9288-510E35447C99}">
      <text>
        <r>
          <rPr>
            <b/>
            <sz val="9"/>
            <color indexed="81"/>
            <rFont val="Segoe UI"/>
            <family val="2"/>
          </rPr>
          <t>depreciação total = 10 anos (artigo 305 do RIR/99) = 120 meses</t>
        </r>
      </text>
    </comment>
    <comment ref="G22" authorId="1" shapeId="0" xr:uid="{B708DBFF-4119-457E-857E-3A99ADAD07E5}">
      <text>
        <r>
          <rPr>
            <b/>
            <sz val="9"/>
            <color indexed="81"/>
            <rFont val="Segoe UI"/>
            <charset val="1"/>
          </rPr>
          <t>Subtraido 2 colaboradores ASG que laboram na sede antiga;
+ encarr
+ 2 copeiro
+ lavador</t>
        </r>
      </text>
    </comment>
    <comment ref="G23" authorId="1" shapeId="0" xr:uid="{1506D916-443F-4901-AAEC-EA679F78289D}">
      <text>
        <r>
          <rPr>
            <b/>
            <sz val="9"/>
            <color indexed="81"/>
            <rFont val="Segoe UI"/>
            <family val="2"/>
          </rPr>
          <t xml:space="preserve">Acrescido Tratador
</t>
        </r>
      </text>
    </comment>
  </commentList>
</comments>
</file>

<file path=xl/sharedStrings.xml><?xml version="1.0" encoding="utf-8"?>
<sst xmlns="http://schemas.openxmlformats.org/spreadsheetml/2006/main" count="1733" uniqueCount="453">
  <si>
    <t>Quantidade</t>
  </si>
  <si>
    <t>Subtotal</t>
  </si>
  <si>
    <t>Data base da categoria (dia/mês/ano)</t>
  </si>
  <si>
    <t>Salário Normativo da Categoria Profissional</t>
  </si>
  <si>
    <t>Município/UF</t>
  </si>
  <si>
    <t>Data de apresentação da proposta (dia/mês/ano)</t>
  </si>
  <si>
    <t>PLANILHA DE CUSTOS E FORMAÇÃO DE PREÇOS</t>
  </si>
  <si>
    <t>Discriminação dos Materiais</t>
  </si>
  <si>
    <t>Valor Total</t>
  </si>
  <si>
    <t>Durabilidade (meses)</t>
  </si>
  <si>
    <t>Depreciação mensal</t>
  </si>
  <si>
    <t>Total</t>
  </si>
  <si>
    <t xml:space="preserve">Nº Processo </t>
  </si>
  <si>
    <t xml:space="preserve">Licitação </t>
  </si>
  <si>
    <t>Discriminação dos Serviços (dados referentes à contratação)</t>
  </si>
  <si>
    <t xml:space="preserve">A </t>
  </si>
  <si>
    <t>B</t>
  </si>
  <si>
    <t>C</t>
  </si>
  <si>
    <t>Ano Acordo, Convenção ou Sentença Normativa em Dissídio Coletivo</t>
  </si>
  <si>
    <t>D</t>
  </si>
  <si>
    <t>Tipo de serviço</t>
  </si>
  <si>
    <t>Continuado</t>
  </si>
  <si>
    <t>E</t>
  </si>
  <si>
    <t>Unidade de medida</t>
  </si>
  <si>
    <t>F</t>
  </si>
  <si>
    <t>G</t>
  </si>
  <si>
    <t>Nº de meses de execução contratual</t>
  </si>
  <si>
    <t>Mão-de-obra</t>
  </si>
  <si>
    <t>Módulo de Mão-de-obra vinculada à execução contratual Unidade de medida - tipos e quantidades</t>
  </si>
  <si>
    <t>Tipo de serviço (mesmo serviço com características distintas)</t>
  </si>
  <si>
    <t>Classificação Brasileira de Ocupações</t>
  </si>
  <si>
    <t>Dados complementares para composição dos custos referente à mão-de-obra</t>
  </si>
  <si>
    <t>Categoria profissional (vinculada à execução contratual)</t>
  </si>
  <si>
    <t>MÓDULO 1: COMPOSIÇÃO DA REMUNERAÇÃO</t>
  </si>
  <si>
    <t>Composição da remuneração</t>
  </si>
  <si>
    <t>Valor (R$)</t>
  </si>
  <si>
    <t>A</t>
  </si>
  <si>
    <t>Adicional de periculosidade</t>
  </si>
  <si>
    <t>Adicional de insalubridade</t>
  </si>
  <si>
    <t>Outros (especificar)</t>
  </si>
  <si>
    <t>Total da Remuneração</t>
  </si>
  <si>
    <t>MÓDULO 2: ENCARGOS E BENEFÍCIOS ANUAIS, MENSAIS E DIÁRIOS</t>
  </si>
  <si>
    <t xml:space="preserve">2.1 </t>
  </si>
  <si>
    <t>13º (décimo terceiro) Salário, Férias e Adicional de Férias</t>
  </si>
  <si>
    <t>%</t>
  </si>
  <si>
    <t>13º (décimo terceiro) Salário</t>
  </si>
  <si>
    <t>2.2</t>
  </si>
  <si>
    <t>GPS, FGTS e outras contribuições</t>
  </si>
  <si>
    <t>INSS</t>
  </si>
  <si>
    <t>Salário Educação</t>
  </si>
  <si>
    <t>SEBRAE</t>
  </si>
  <si>
    <t>INCRA</t>
  </si>
  <si>
    <t>H</t>
  </si>
  <si>
    <t>FGTS</t>
  </si>
  <si>
    <t xml:space="preserve">2.3 </t>
  </si>
  <si>
    <t>Benefícios Mensais e Diários</t>
  </si>
  <si>
    <t>Valor unitário</t>
  </si>
  <si>
    <t>Transporte</t>
  </si>
  <si>
    <t>Auxílio-Refeição/Alimentação</t>
  </si>
  <si>
    <t>Total de Encargos e Benefícios</t>
  </si>
  <si>
    <t>Quadro-Resumo - Módulo 2 - Encargos e Benefícios Anuais, Mensais e Diários</t>
  </si>
  <si>
    <t>2.1</t>
  </si>
  <si>
    <t>2.3</t>
  </si>
  <si>
    <t>Incidência dos encargos do submódulo 2.2 sobre o Aviso Prévio Trabalhado</t>
  </si>
  <si>
    <t>MÓDULO 4 - CUSTO DE REPOSIÇÃO DO PROFISSIONAL AUSENTE</t>
  </si>
  <si>
    <t>4.1</t>
  </si>
  <si>
    <t>Substituto - Cobertura Férias</t>
  </si>
  <si>
    <t>Substituto - Cobertura Licença-Paternidade</t>
  </si>
  <si>
    <t>Substituto - Cobertura Afastamento Maternidade</t>
  </si>
  <si>
    <t>MÓDULO 5 - INSUMOS DIVERSOS</t>
  </si>
  <si>
    <t>TOTAL PARCIAL: MÓDULO 1 + 2 + 3 + 4+ 5</t>
  </si>
  <si>
    <t>MÓDULO 6 - CUSTOS DIRETOS, TRIBUTOS E LUCRO</t>
  </si>
  <si>
    <t>Custos Indiretos, Tributos e Lucro</t>
  </si>
  <si>
    <t>Custos Indiretos</t>
  </si>
  <si>
    <t>Lucro</t>
  </si>
  <si>
    <t>Tributos</t>
  </si>
  <si>
    <t>PIS</t>
  </si>
  <si>
    <t>COFINS</t>
  </si>
  <si>
    <t>Total de Tributos</t>
  </si>
  <si>
    <t>QUADRO-RESUMO DO CUSTO MENSAL POR EMPREGADO</t>
  </si>
  <si>
    <t xml:space="preserve">Mão de obra vinculada à execução contratual 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</si>
  <si>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</si>
  <si>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</si>
  <si>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</si>
  <si>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</si>
  <si>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</si>
  <si>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</si>
  <si>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 xml:space="preserve">F </t>
  </si>
  <si>
    <t>Módulo 6 – Custos Indiretos, Tributos e Lucro</t>
  </si>
  <si>
    <t>Valor Total Mensal por Empregado</t>
  </si>
  <si>
    <t>B1</t>
  </si>
  <si>
    <t>Desconto empregado</t>
  </si>
  <si>
    <t>VALOR TOTAL</t>
  </si>
  <si>
    <t>TOTAL</t>
  </si>
  <si>
    <t>SR Auxiliar de Escritório</t>
  </si>
  <si>
    <t>SR Encarregado</t>
  </si>
  <si>
    <t>SR Motorista</t>
  </si>
  <si>
    <t>ITAJAÍ Motorista</t>
  </si>
  <si>
    <t>ITAJAÍ Lider</t>
  </si>
  <si>
    <t>ITAJAÍ Auxiliar de Escritório</t>
  </si>
  <si>
    <t>JOINVILLE Auxiliar de Escritório</t>
  </si>
  <si>
    <t>JOINVILLE Lider</t>
  </si>
  <si>
    <t>CRICIÚMA Auxiliar de Escritório</t>
  </si>
  <si>
    <t>CRICIÚMA Lider</t>
  </si>
  <si>
    <t>LAGES Auxiliar de Escritório</t>
  </si>
  <si>
    <t>LAGES Lider</t>
  </si>
  <si>
    <t>CHAPECÓ Auxiliar de Escritório</t>
  </si>
  <si>
    <t>CHAPECÓ Lider</t>
  </si>
  <si>
    <t>DIONÍSIO CERQ. Auxiliar de Escritório</t>
  </si>
  <si>
    <t>DIONÍSIO CERQ. Lider</t>
  </si>
  <si>
    <t>A1</t>
  </si>
  <si>
    <t>D1</t>
  </si>
  <si>
    <t>D2</t>
  </si>
  <si>
    <t>Adicional de Férias</t>
  </si>
  <si>
    <t>A2</t>
  </si>
  <si>
    <t>B2</t>
  </si>
  <si>
    <t>Montante dos depósitos realizado nos meses de serviços prestados</t>
  </si>
  <si>
    <t>Substituto - Cobertura Ausências Legais</t>
  </si>
  <si>
    <t>Substituto - Cobertura ausência por doenças</t>
  </si>
  <si>
    <t>Substituto - Cobertura Acidente de trabalho</t>
  </si>
  <si>
    <t>Valor Un.</t>
  </si>
  <si>
    <t>MÓDULO 5  - COMPOSIÇÃO VALOR MENSAL</t>
  </si>
  <si>
    <t>A - UNIFORMES</t>
  </si>
  <si>
    <t>Ponto biométrico com impressora</t>
  </si>
  <si>
    <t>Nº de funcionários (uso do equip.) por localidade</t>
  </si>
  <si>
    <t>SR</t>
  </si>
  <si>
    <t>Nº func.</t>
  </si>
  <si>
    <t>Deprec. / func.</t>
  </si>
  <si>
    <t>ADM</t>
  </si>
  <si>
    <t>LUCRO</t>
  </si>
  <si>
    <t>TIPO DE SERVIÇO</t>
  </si>
  <si>
    <t>VALOR UNI</t>
  </si>
  <si>
    <t>VALOR HR</t>
  </si>
  <si>
    <t>VALOR HR 50%</t>
  </si>
  <si>
    <t>VALOR HR 100%</t>
  </si>
  <si>
    <t>ANEXO I</t>
  </si>
  <si>
    <t>Quadro-resumo – VALOR MENSAL DOS SERVIÇOS</t>
  </si>
  <si>
    <t>Item</t>
  </si>
  <si>
    <t>Tipo de Servio</t>
  </si>
  <si>
    <t>Localidade</t>
  </si>
  <si>
    <t>Valor Unitário do Item [A]</t>
  </si>
  <si>
    <t>Valor Mensal [C = A x B]</t>
  </si>
  <si>
    <t>TOTAL ANUAL [E = C * D]</t>
  </si>
  <si>
    <t>xx/xx/xxxx</t>
  </si>
  <si>
    <t>Salário Base (Quantidade de horas/mês)</t>
  </si>
  <si>
    <t>Adicional de periculosidade - Lei nº 12.740/2012</t>
  </si>
  <si>
    <t>Adicional Noturno [qtd de horas: 22h00 as 05h00 = 7 horas]</t>
  </si>
  <si>
    <t>Adicional Noturno mensal [percentual do adicional]</t>
  </si>
  <si>
    <t>Hora noturna reduzida</t>
  </si>
  <si>
    <t>Adicionou de Hora Extra</t>
  </si>
  <si>
    <t>Σ</t>
  </si>
  <si>
    <t>E1</t>
  </si>
  <si>
    <t>Hora Extra Normal [(Remuneração ÷ Qtd. Horas mensais) + 50%]</t>
  </si>
  <si>
    <t>E2</t>
  </si>
  <si>
    <t>Hora Extra Noturna [(Remuneração ÷ Qtd. Horas mensais) + 50% x 20% x 14,28%]</t>
  </si>
  <si>
    <t>E3</t>
  </si>
  <si>
    <t>Hora Extra Feriado [(Remuneração ÷ Qtd. Horas mensais) + 100%]</t>
  </si>
  <si>
    <t>E4</t>
  </si>
  <si>
    <t>Hora Extra Feriado Norturno [(Remuneração ÷ Qtd. Horas mensais) + 100% x 20% x 14,28%]</t>
  </si>
  <si>
    <t>1.2</t>
  </si>
  <si>
    <t>Outras verbas não salariais</t>
  </si>
  <si>
    <t>Qtd.</t>
  </si>
  <si>
    <t>Intervalo Intrajornada indenizado</t>
  </si>
  <si>
    <t>Indenização por viagem</t>
  </si>
  <si>
    <t>Total de Indenizações</t>
  </si>
  <si>
    <t>SAT - Seg. acid. de trabalho (Cálculo=RATxFAP)</t>
  </si>
  <si>
    <t>SESC</t>
  </si>
  <si>
    <t>SENAC</t>
  </si>
  <si>
    <t>Valor total de VT (ida + volta)</t>
  </si>
  <si>
    <t>Desconto máximo do empregado (6% do salário)</t>
  </si>
  <si>
    <t>Valor total de VR/Alimentação</t>
  </si>
  <si>
    <t>MÓDULO 3 - CUSTOS COM RESCISÃO</t>
  </si>
  <si>
    <t>3.1</t>
  </si>
  <si>
    <t>Provisão para Aviso Prévio Indenizado</t>
  </si>
  <si>
    <t>Valor do período de Trabalho Indenizado devido</t>
  </si>
  <si>
    <t>A.1</t>
  </si>
  <si>
    <t>Remuneração (30 dias + acréscimo 3 dias/ano)</t>
  </si>
  <si>
    <t>A.2</t>
  </si>
  <si>
    <t>13º Salário proporcional ao Mês Indenizado</t>
  </si>
  <si>
    <t>A.3</t>
  </si>
  <si>
    <t>Férias + 1/3 proporcionais ao Mês Indenizado</t>
  </si>
  <si>
    <t>A.4</t>
  </si>
  <si>
    <t>FGTS do Mês Indenizado (Rem. + 13º)</t>
  </si>
  <si>
    <t>Multa do FGTS sobre o Aviso Prévio Indenizado</t>
  </si>
  <si>
    <t>B.1</t>
  </si>
  <si>
    <t>Incidência do FGTS sobre o montante de depósitos</t>
  </si>
  <si>
    <t>B.1.1</t>
  </si>
  <si>
    <t>B.1.1.1</t>
  </si>
  <si>
    <t>Remuneração</t>
  </si>
  <si>
    <t>B.1.1.2</t>
  </si>
  <si>
    <t>13º Salário integral</t>
  </si>
  <si>
    <t>B.1.1.3</t>
  </si>
  <si>
    <t>Férias + 1/3 constitucional (usufruídas)</t>
  </si>
  <si>
    <t>3.2</t>
  </si>
  <si>
    <t>Provisão para Aviso Prévio Trabalhado</t>
  </si>
  <si>
    <t>+ 7 dias ( parágrafo único do art. 488 da CLT)</t>
  </si>
  <si>
    <t>Remuneração (30 dias)</t>
  </si>
  <si>
    <t>13º Salário proporcional</t>
  </si>
  <si>
    <t>Férias + 1/3 proporcionais</t>
  </si>
  <si>
    <t>A.5</t>
  </si>
  <si>
    <t>Submódulo 2.3 (Benefícios mensais) referente ao mês trabalhado</t>
  </si>
  <si>
    <t xml:space="preserve">  </t>
  </si>
  <si>
    <t>3.3</t>
  </si>
  <si>
    <t>Férias proporcionais das verbas rescisórias (sem incidência de FGTS)</t>
  </si>
  <si>
    <t>Férias proporcionais devidas</t>
  </si>
  <si>
    <t>1/3 Consitucional de férias proporcionais devidos</t>
  </si>
  <si>
    <t>Quadro-Resumo - Módulo 3 - CUSTO COM RESCISÃO</t>
  </si>
  <si>
    <t>SubTotal de Custo proporcional para Rescisão</t>
  </si>
  <si>
    <t>Proporção desligamentos com custos (vigência do contrato)</t>
  </si>
  <si>
    <t>Desligamento por Justa Causa (Desconto 13º e férias + 1;3)</t>
  </si>
  <si>
    <t>Provisão Mensal</t>
  </si>
  <si>
    <t>Férias proporcionais da rescisão (sem incidência de FGTS)</t>
  </si>
  <si>
    <t>Férias</t>
  </si>
  <si>
    <t>a.1</t>
  </si>
  <si>
    <t>Remuneração do Substituto [Módulo 1 x %vigência]</t>
  </si>
  <si>
    <t>a.2</t>
  </si>
  <si>
    <t>13º do Substituto [(12 avos/remuneração) x % vigência]</t>
  </si>
  <si>
    <t>a.3</t>
  </si>
  <si>
    <t>Férias + 1/3 de férias  [(12 avos/férias) x % vigência]</t>
  </si>
  <si>
    <t>a.4</t>
  </si>
  <si>
    <t>Incidência de Encargos [% do Submódulo 2.2 x   Σ 4.1-A.1 a 4.1-A3]</t>
  </si>
  <si>
    <t>a.5</t>
  </si>
  <si>
    <t>Provisão de Rescisão do ferista [Submódulos 3.1 + 3.2) x % vigência]</t>
  </si>
  <si>
    <t xml:space="preserve">Venda de Férias (100% = 10 dias) - Sem incidência de Encargos </t>
  </si>
  <si>
    <t>SubTotal</t>
  </si>
  <si>
    <t>Base de Cálculo do Custo do Substituto - exceto férias</t>
  </si>
  <si>
    <t>Férias acrescido do terço consitucional + 13º</t>
  </si>
  <si>
    <t>Incidência do Submódulo 2.2</t>
  </si>
  <si>
    <t>Benefícios diários e mensais</t>
  </si>
  <si>
    <t>Custo com a rescisão do ferista/volante</t>
  </si>
  <si>
    <t>Total da BCCS</t>
  </si>
  <si>
    <t>4.2</t>
  </si>
  <si>
    <t>Demais Ausências</t>
  </si>
  <si>
    <t>Substituto para Faltas Injustificáveis</t>
  </si>
  <si>
    <t>Descontos das ausências</t>
  </si>
  <si>
    <t>Σ %</t>
  </si>
  <si>
    <t>Descontos das ausências do colaborador residente</t>
  </si>
  <si>
    <r>
      <t xml:space="preserve">Módulo 1 - Remuneração </t>
    </r>
    <r>
      <rPr>
        <b/>
        <sz val="11"/>
        <color rgb="FF000000"/>
        <rFont val="Franklin Gothic Book"/>
        <family val="2"/>
      </rPr>
      <t>(Ausência F)</t>
    </r>
  </si>
  <si>
    <t>Módulo 1 - Descanso Semanal Remunerado</t>
  </si>
  <si>
    <t>Módulo 2.1 - Férias acrescido do terço consitucional + 13º</t>
  </si>
  <si>
    <r>
      <t>Módulo 2.3.A - Vale Transporte</t>
    </r>
    <r>
      <rPr>
        <b/>
        <sz val="11"/>
        <color rgb="FF000000"/>
        <rFont val="Franklin Gothic Book"/>
        <family val="2"/>
      </rPr>
      <t xml:space="preserve"> (Ausências A a F)</t>
    </r>
  </si>
  <si>
    <r>
      <t xml:space="preserve">Módulo 2.3.B - Vale Alimentação </t>
    </r>
    <r>
      <rPr>
        <b/>
        <sz val="11"/>
        <color rgb="FF000000"/>
        <rFont val="Franklin Gothic Book"/>
        <family val="2"/>
      </rPr>
      <t>(Ausências A a F)</t>
    </r>
  </si>
  <si>
    <r>
      <t xml:space="preserve">Módulo 2.B.C~ - Outros benefícios do SubMódulo 2.3 </t>
    </r>
    <r>
      <rPr>
        <b/>
        <sz val="11"/>
        <color rgb="FF000000"/>
        <rFont val="Franklin Gothic Book"/>
        <family val="2"/>
      </rPr>
      <t>(Ausência F)</t>
    </r>
  </si>
  <si>
    <r>
      <t xml:space="preserve">Módulo 2.2 (exceto FGTS) - Encargos sobre salário-maternidade </t>
    </r>
    <r>
      <rPr>
        <b/>
        <sz val="11"/>
        <color rgb="FF000000"/>
        <rFont val="Franklin Gothic Book"/>
        <family val="2"/>
      </rPr>
      <t>(Ausência E)</t>
    </r>
  </si>
  <si>
    <r>
      <t xml:space="preserve">Módulo 2.2 - Encargos </t>
    </r>
    <r>
      <rPr>
        <b/>
        <sz val="11"/>
        <color rgb="FF000000"/>
        <rFont val="Franklin Gothic Book"/>
        <family val="2"/>
      </rPr>
      <t>(Ausência F)</t>
    </r>
  </si>
  <si>
    <t>Desconto total sobre as ausências</t>
  </si>
  <si>
    <t xml:space="preserve">SubTotal - Demais Custos com substitutos </t>
  </si>
  <si>
    <t>Quadro-Resumo - Módulo 4 - CRPA</t>
  </si>
  <si>
    <t>Insumos</t>
  </si>
  <si>
    <t>Quantidade (total) a contratar</t>
  </si>
  <si>
    <t>Carga horária da Categoria (horas)</t>
  </si>
  <si>
    <t>Gasto mensal</t>
  </si>
  <si>
    <t>CATMAT</t>
  </si>
  <si>
    <t>Crachá (Confecção - Serviço)</t>
  </si>
  <si>
    <t>Camiseta</t>
  </si>
  <si>
    <t>345896/384197</t>
  </si>
  <si>
    <t>PCMSO e PPRA</t>
  </si>
  <si>
    <t>BGE</t>
  </si>
  <si>
    <t>CXS</t>
  </si>
  <si>
    <t>CHI</t>
  </si>
  <si>
    <t>JGO</t>
  </si>
  <si>
    <t>PFO</t>
  </si>
  <si>
    <t>PTS</t>
  </si>
  <si>
    <t>RGE</t>
  </si>
  <si>
    <t>SCS</t>
  </si>
  <si>
    <t>SMA</t>
  </si>
  <si>
    <t>SLI</t>
  </si>
  <si>
    <t>SAG</t>
  </si>
  <si>
    <t>SBA</t>
  </si>
  <si>
    <t>UGA</t>
  </si>
  <si>
    <t>5143-20</t>
  </si>
  <si>
    <t>Auxiliar de Limpeza (44 horas semanais)</t>
  </si>
  <si>
    <t>Auxiliar de Limpeza</t>
  </si>
  <si>
    <t>Qtde [B]</t>
  </si>
  <si>
    <t>Produtividade</t>
  </si>
  <si>
    <t>Qts. Estimad Func</t>
  </si>
  <si>
    <t>Preço Homem-Mês (R$)</t>
  </si>
  <si>
    <t>SubTotal (R$*M²)</t>
  </si>
  <si>
    <t>Índice Produtividade [1/(M²/qtd func.)]</t>
  </si>
  <si>
    <t>m²</t>
  </si>
  <si>
    <t>Uni. Medida</t>
  </si>
  <si>
    <t>Jaqueta</t>
  </si>
  <si>
    <t xml:space="preserve">Calça </t>
  </si>
  <si>
    <t>Camisa</t>
  </si>
  <si>
    <t>Sapato</t>
  </si>
  <si>
    <t>Meias</t>
  </si>
  <si>
    <t>Plano de Benefício Social Familiar</t>
  </si>
  <si>
    <t>Custeio da Atividade Sindical Patronal</t>
  </si>
  <si>
    <r>
      <t>Auxílio Babá/Cuidadora</t>
    </r>
    <r>
      <rPr>
        <i/>
        <sz val="11"/>
        <color theme="1"/>
        <rFont val="Franklin Gothic Book"/>
        <family val="2"/>
      </rPr>
      <t xml:space="preserve"> [(R$ 140,00 * 3 meses) * probabilidade afastamento maternidade]</t>
    </r>
  </si>
  <si>
    <t>Tarifa de abertura e manutenção Conta-Vinculada</t>
  </si>
  <si>
    <t>-</t>
  </si>
  <si>
    <t>Valor do insumo por funcionário será transposto automaticamente para o Item 5 de cada planilha de formação de preço</t>
  </si>
  <si>
    <t>ITEM</t>
  </si>
  <si>
    <t>MATERIAL</t>
  </si>
  <si>
    <t>UNIDADE</t>
  </si>
  <si>
    <t>R$ Referência</t>
  </si>
  <si>
    <t xml:space="preserve">Água sanitaria c/ cloro ativo 2,0% a 2,5% (uso domèstico) recipente galão com 5 litros </t>
  </si>
  <si>
    <t>UNI</t>
  </si>
  <si>
    <t>Álcool etílico hidratado 92,8º INPM
(96 Gl), recipiente com 1 litro.</t>
  </si>
  <si>
    <t>LITRO</t>
  </si>
  <si>
    <t>Frasco</t>
  </si>
  <si>
    <t xml:space="preserve">Desinfetante liquido ação germicida, bactericida (uso doméstico) </t>
  </si>
  <si>
    <t>Desodorante (DESODORIZADOR) sanitário, pedra de 40 gramas,</t>
  </si>
  <si>
    <t>Detergente liquido neutro concentrado (uso domestico)galão de 5 litros.</t>
  </si>
  <si>
    <t xml:space="preserve">Flanela branca, 40X60 cm, 100% algodão. </t>
  </si>
  <si>
    <t xml:space="preserve">Limpador Multiuso 1ª qualidade, Frasco com 500 mi. </t>
  </si>
  <si>
    <t xml:space="preserve">Multi-lnseticida doméstico, embalagem de 300 ml, spray ou aerossol. </t>
  </si>
  <si>
    <t>Pano de chão, alvejado, tipo saco.</t>
  </si>
  <si>
    <t>PACOTE</t>
  </si>
  <si>
    <t>FARDO</t>
  </si>
  <si>
    <t>PCT</t>
  </si>
  <si>
    <t xml:space="preserve">Sabão em pó c/ Bio Ativo de 1ª qualidade, Caixa de 1 Kg. </t>
  </si>
  <si>
    <t>Quantidade Colaboradores</t>
  </si>
  <si>
    <t>Celular (exclusivo encarregado)</t>
  </si>
  <si>
    <t>Equipamentos</t>
  </si>
  <si>
    <t>Materiais de consumo</t>
  </si>
  <si>
    <t>GALÃO</t>
  </si>
  <si>
    <t>SR/RS</t>
  </si>
  <si>
    <t xml:space="preserve">TELA DESODORIZADORA P/ MICTORIO </t>
  </si>
  <si>
    <t>ESPECIFICAÇÃO</t>
  </si>
  <si>
    <t>Cortador de grama costal a gasolina (sthil ou similar)</t>
  </si>
  <si>
    <t>Podador de árvore a gasolina (sthil ou similar)</t>
  </si>
  <si>
    <t>Soprador a de folhas gasolina (sthil ou similar)</t>
  </si>
  <si>
    <t>Par</t>
  </si>
  <si>
    <t>INSUMOS - Uniforme</t>
  </si>
  <si>
    <t>Cera incolor líquida p/ piso paviflex (bombona de 5 litros)</t>
  </si>
  <si>
    <t>Desodorizador de ar, embalagem de 360 -400 ml, spray.</t>
  </si>
  <si>
    <t>Esponja dupla face antibactérias 100x71x18mm.</t>
  </si>
  <si>
    <t>Limpa-vidro, com proteção contra mancha de chuva, frasco com 500 ml.</t>
  </si>
  <si>
    <t>Lustra-móveis, a base de silicone, repelente de umidade e poeira que permita um brilho seco. Embalagem descartável de 200ml</t>
  </si>
  <si>
    <t>Pano de chão, cru, tipo saco.</t>
  </si>
  <si>
    <t>Pasta tipo Saponáceo cremoso, recipiente com 300 ml.</t>
  </si>
  <si>
    <t>Refil para vassoura mop sec (bruxa)</t>
  </si>
  <si>
    <t>Removedor de cera de 1ª qualidade galão em 5 litros. Ref: Jato da Johnson &amp; Johnson</t>
  </si>
  <si>
    <t>Sabonete líquido, aspecto físico líquido, ph neutro, em embalagem apropriada para o dispenser a ser fornecido pela contratada.</t>
  </si>
  <si>
    <t>Saco para filtro de aspirador de pó</t>
  </si>
  <si>
    <t>Saco preto para lixo, alta resistência, c/ capacidade de 60 litros. Fardo c/ 100 unid.</t>
  </si>
  <si>
    <t>Saco verde para lixo, alta resistência, c/ capacidade de 60 litros. Fardo c/ 100 unid.</t>
  </si>
  <si>
    <t>Saponáceo em pó com detergente, perfumado com alquil benzeno sulfonato de sódio (embalagem de 500g). REF: Sapólio radium</t>
  </si>
  <si>
    <t>B - OUTROS</t>
  </si>
  <si>
    <t>CATMAT/ CATSER</t>
  </si>
  <si>
    <t>INSUMOS - Outros</t>
  </si>
  <si>
    <t>TOTAL - AUXILIAR LIMPEZA</t>
  </si>
  <si>
    <t>Unidade de Medida</t>
  </si>
  <si>
    <t>Valor Unitário</t>
  </si>
  <si>
    <t>Unidade</t>
  </si>
  <si>
    <t>Conjunto</t>
  </si>
  <si>
    <t>TOTAL/Colaborador</t>
  </si>
  <si>
    <t>Esponja de lã de aço (pacote com 8 unidades)</t>
  </si>
  <si>
    <t>Estopa de algodão (pacote com 400 a 500 gramas)</t>
  </si>
  <si>
    <t>Naftalina, tipo esfera branca (pacote com 1kg)</t>
  </si>
  <si>
    <t>Papel higiênico, picotado, extra macio, folha dupla e branca, não reciclado, 100% fibras, com 30 metros.</t>
  </si>
  <si>
    <t>Papel higiênico, tipo Rolão, de 300m</t>
  </si>
  <si>
    <t>Papel toalha, interfolhado, duas dobras, branco, 1ª qualidade, Pacote 1.000 folhas.</t>
  </si>
  <si>
    <t>Papel toalha, Rolão, fardo c/ 06 rolos de 200m</t>
  </si>
  <si>
    <t>Sabão em barra glicerinado, 200g (Pacote com 5 unidades)</t>
  </si>
  <si>
    <t>Sabão líquido aromatizado / detergente para piso (GALÃO 5l)</t>
  </si>
  <si>
    <t>Saco preto para lixo, alta resistência, c/ capacidade de 100 litros. Fardo c/ 100 unid.</t>
  </si>
  <si>
    <t>Saco verde para lixo, alta resistência, c/ capacidade de 100 litros. Fardo c/ 100 unid.</t>
  </si>
  <si>
    <t>Saco preto para lixo, alta resistência, c/ capacidade de 20 litros. Fardo c/ 100 unid.</t>
  </si>
  <si>
    <r>
      <t xml:space="preserve">Bomba pulverizadora </t>
    </r>
    <r>
      <rPr>
        <sz val="11"/>
        <color theme="9" tint="-0.249977111117893"/>
        <rFont val="Arial"/>
        <family val="2"/>
      </rPr>
      <t>Pulverizador De Compressão Prévia
Capacidade: 1,25 L.Características Adicionais: Portátil, Manual De Mesa/Laboratório, Bomba De Ar</t>
    </r>
  </si>
  <si>
    <r>
      <t xml:space="preserve">Carrinho de mão, de pneu c/ câmara  </t>
    </r>
    <r>
      <rPr>
        <sz val="11"/>
        <color theme="9" tint="-0.249977111117893"/>
        <rFont val="Arial"/>
        <family val="2"/>
      </rPr>
      <t>Carrinho Mão. Tipo Roda: Pneu Maciço, Com 3,2 Pol De Diâmetro; Altura: 20 CM; Material Caçamba: Chapa Aço Galvanizado; Tipo Travessa: Suporte Dianteiro Caçamba; Quantidade Roda: 1; Espessura Caçamba: 5 MM; Comprimento Eixo: 25 CM; Comprimento: 80 CM; Largura: 62 CM; Material Pés: Ferro; Material Chassi: Ferro.</t>
    </r>
  </si>
  <si>
    <r>
      <t>Bico para mangueira de 3 ¼</t>
    </r>
    <r>
      <rPr>
        <sz val="11"/>
        <color theme="9" tint="-0.249977111117893"/>
        <rFont val="Arial"/>
        <family val="2"/>
      </rPr>
      <t xml:space="preserve"> Bico Mangueira- Material: Aço; Tipo: Pistola; Bitola: 3/4 POL</t>
    </r>
  </si>
  <si>
    <r>
      <t xml:space="preserve">Balde plástico de 20 litros </t>
    </r>
    <r>
      <rPr>
        <sz val="11"/>
        <color theme="9" tint="-0.249977111117893"/>
        <rFont val="Arial"/>
        <family val="2"/>
      </rPr>
      <t>Balde- Material: Plástico; Aplicação: Uso Geral; Capacidade: 20 L; Características Adicionais: Com Alça Metálica</t>
    </r>
  </si>
  <si>
    <r>
      <t xml:space="preserve">Balde plástico de 10 litros </t>
    </r>
    <r>
      <rPr>
        <sz val="11"/>
        <color theme="9" tint="-0.249977111117893"/>
        <rFont val="Arial"/>
        <family val="2"/>
      </rPr>
      <t>Balde - Material: Pvc; Material Alça: Arame Galvanizado; Capacidade: 10 L; Cor: Preta</t>
    </r>
  </si>
  <si>
    <r>
      <t xml:space="preserve">Balde espremedor </t>
    </r>
    <r>
      <rPr>
        <sz val="11"/>
        <color theme="9" tint="-0.249977111117893"/>
        <rFont val="Arial"/>
        <family val="2"/>
      </rPr>
      <t>Balde Com Espremedor - Material Base: Plástico; Altura: 84 CM; Capacidade Balde: 30 L; Material Balde: Plástico; Material Espremedor: Plástico; Tipo Espremedor: Pressão Vertical; Comprimento: 52 CM; Largura: 37 CM.</t>
    </r>
  </si>
  <si>
    <r>
      <t xml:space="preserve">Aspirador de pó e água profissional – 1000 watts, 127/220v  </t>
    </r>
    <r>
      <rPr>
        <sz val="11"/>
        <color theme="9" tint="-0.249977111117893"/>
        <rFont val="Arial"/>
        <family val="2"/>
      </rPr>
      <t>Aspirador De Pó E Água - Material: Termoplástico; Capacidade: 15 L; Características Adicionais: 4 Rodizios, Guarnições; Tensão Alimentação: 220 V; Potência: 1.100 W.</t>
    </r>
  </si>
  <si>
    <r>
      <t xml:space="preserve">Carro funcional </t>
    </r>
    <r>
      <rPr>
        <i/>
        <sz val="11"/>
        <color rgb="FFFF0000"/>
        <rFont val="Arial"/>
        <family val="2"/>
      </rPr>
      <t>master</t>
    </r>
    <r>
      <rPr>
        <sz val="11"/>
        <color rgb="FFFF0000"/>
        <rFont val="Arial"/>
        <family val="2"/>
      </rPr>
      <t xml:space="preserve"> para limpeza </t>
    </r>
    <r>
      <rPr>
        <sz val="11"/>
        <color theme="9" tint="-0.249977111117893"/>
        <rFont val="Arial"/>
        <family val="2"/>
      </rPr>
      <t>Carro Limpeza - Material: Metal E Plástico; Tipo: 4 Rodízios; Comprimento: 114 CM; Largura: 48 CM; Altura: 96 CM; Aplicação: Limpeza Industrial E Comercial; Características Adicionais: 3 Prateleiras, 4 Baldes, Saco Funcional E Tampa</t>
    </r>
  </si>
  <si>
    <r>
      <t xml:space="preserve">Desentupidor de pias </t>
    </r>
    <r>
      <rPr>
        <sz val="11"/>
        <color theme="9" tint="-0.249977111117893"/>
        <rFont val="Arial"/>
        <family val="2"/>
      </rPr>
      <t>Desentupidor Pia - Material: Borracha Flexível; Cor: Preta; Material Cabo: Plástico Resistente; Comprimento Cabo: 20 CM; Tipo: Sanfonado.</t>
    </r>
  </si>
  <si>
    <r>
      <t>Desentupidor de vasos</t>
    </r>
    <r>
      <rPr>
        <sz val="11"/>
        <color theme="9" tint="-0.249977111117893"/>
        <rFont val="Arial"/>
        <family val="2"/>
      </rPr>
      <t xml:space="preserve"> Desentupidor Vaso Sanitário - Material: Borracha Flexível; Cor: Preta; Altura: 10 CM; Diâmetro: 16 CM; Material Cabo: Madeira; Comprimento Cabo: 50 CM.</t>
    </r>
  </si>
  <si>
    <r>
      <t xml:space="preserve">Enceradeira doméstica </t>
    </r>
    <r>
      <rPr>
        <sz val="11"/>
        <color theme="9" tint="-0.249977111117893"/>
        <rFont val="Arial"/>
        <family val="2"/>
      </rPr>
      <t>Enceradeira
Tipo: Doméstica
Potência Motor: Mínimo 250 W
Tensão Alimentação: 110 / 220 V
Diâmetro Escova: 24 CM
Características Adicionais: Com Uma Escova</t>
    </r>
  </si>
  <si>
    <r>
      <t xml:space="preserve">Enceradeira profissional grande, Bandeirante ou de melhor qualidade </t>
    </r>
    <r>
      <rPr>
        <sz val="11"/>
        <color theme="9" tint="-0.249977111117893"/>
        <rFont val="Arial"/>
        <family val="2"/>
      </rPr>
      <t xml:space="preserve"> Enceradeira
Tipo: Industrial
Potência Motor: 1 HP
Tipo Motor: Monofásico
Tensão Alimentação: 110 / 220 V
Diâmetro Escova: 50 CM</t>
    </r>
  </si>
  <si>
    <r>
      <t xml:space="preserve">Escada de alumínio com no mínimo / 06 degraus </t>
    </r>
    <r>
      <rPr>
        <sz val="11"/>
        <color theme="9" tint="-0.249977111117893"/>
        <rFont val="Arial"/>
        <family val="2"/>
      </rPr>
      <t>Escada Doméstica
Material: Alumínio
Número Degraus: 6 UN
Altura: 1,70 M
Características Adicionais: Pés Anti-Derrapantes, Sapatas Borracha, Travamento
Capacidade: 120 KG</t>
    </r>
  </si>
  <si>
    <r>
      <t>Escada extensiva de alumínio, 13x2 degraus, tipo  Escelsa</t>
    </r>
    <r>
      <rPr>
        <sz val="11"/>
        <color theme="9" tint="-0.249977111117893"/>
        <rFont val="Arial"/>
        <family val="2"/>
      </rPr>
      <t xml:space="preserve"> Escada Extensível De Alumínio
Capacidade: 150 KG
Tipo Sapata: Borracha Antiderrapante
Tipo Degraus: 2 X 13
Quantidade Degraus: 26 UN
Altura Fechada: 4,16 M
Altura Aberta: 3,89 M
Material: Alumínio
Altura Estendida: 6,88 M
Características Adicionais: Rodízios Na Parte Superior</t>
    </r>
  </si>
  <si>
    <r>
      <t>Escova oval de nylon, grande</t>
    </r>
    <r>
      <rPr>
        <sz val="11"/>
        <color theme="9" tint="-0.249977111117893"/>
        <rFont val="Arial"/>
        <family val="2"/>
      </rPr>
      <t xml:space="preserve"> Escova Limpeza Geral
Material Corpo: Madeira
Material Cerdas: Náilon
Características Adicionais: Ovalada
Comprimento: 12,50 CM
Largura: 6 CM
Espessura: 4 CM</t>
    </r>
  </si>
  <si>
    <r>
      <t>Espanador de pó</t>
    </r>
    <r>
      <rPr>
        <sz val="11"/>
        <color theme="9" tint="-0.249977111117893"/>
        <rFont val="Arial"/>
        <family val="2"/>
      </rPr>
      <t xml:space="preserve"> Espanador
Material: Penas
Material Cabo: Madeira
Comprimento Cabo: 40 CM
Características Adicionais: Torneado E Reforçado</t>
    </r>
  </si>
  <si>
    <r>
      <t xml:space="preserve">Espátula de 3” </t>
    </r>
    <r>
      <rPr>
        <sz val="11"/>
        <color theme="9" tint="-0.249977111117893"/>
        <rFont val="Arial"/>
        <family val="2"/>
      </rPr>
      <t>Espátula
Material Lâmina: Aço Cromado
Material Cabo: Plástico
Aplicação: Massa E Raspagem
Comprimento Total: 21,60 CM
Largura Da Lâmina: 6 CM</t>
    </r>
  </si>
  <si>
    <r>
      <t xml:space="preserve">Luva impermeável de borracha látex (P, M e G) </t>
    </r>
    <r>
      <rPr>
        <sz val="11"/>
        <color theme="9" tint="-0.249977111117893"/>
        <rFont val="Arial"/>
        <family val="2"/>
      </rPr>
      <t>Luva De Proteção
Material: Latéx
Finalidade: Epi - Equipamento De Proteção Individual
Tamanho: Médio
Características Adicionais: Forro Flocado Algodão, Comprimento Mínimo 29cm
Acabamento Palma: Antiderrapante</t>
    </r>
  </si>
  <si>
    <r>
      <t>Lava jato profissional, móvel, de 1600 libras</t>
    </r>
    <r>
      <rPr>
        <sz val="11"/>
        <color theme="9" tint="-0.249977111117893"/>
        <rFont val="Arial"/>
        <family val="2"/>
      </rPr>
      <t xml:space="preserve"> Lavadora Alta Pressão
Pressão: 1600 PSI
Vazão: 7,5 L/MIN
Tensão: 220 V
Potência Consumida: 2,9 KW
Características Adicionais: 3 Pistões E Carrinho De Transporte
Tipo: Lava-Jato
Modelo: Profissional
Acessórios: Reservatório Para Detergente E Mangueira De Alta P</t>
    </r>
  </si>
  <si>
    <r>
      <t xml:space="preserve">Luva de couro </t>
    </r>
    <r>
      <rPr>
        <sz val="11"/>
        <color theme="9" tint="-0.249977111117893"/>
        <rFont val="Arial"/>
        <family val="2"/>
      </rPr>
      <t>Luva Industrial
Material: Couro
Revestimento Interno: Couro
Acabamento Superficial: Costura Externa
Características Adicionais: Anti-Derrapante
Tamanho Cano: 11 Cm</t>
    </r>
  </si>
  <si>
    <t>ROLO 50m</t>
  </si>
  <si>
    <r>
      <t xml:space="preserve">Mangueira trançada reforçada ½ polegada </t>
    </r>
    <r>
      <rPr>
        <sz val="11"/>
        <color theme="9" tint="-0.249977111117893"/>
        <rFont val="Arial"/>
        <family val="2"/>
      </rPr>
      <t>Mangueira Jardim
Material: Pvc Trançado Em Fio Poliéster
Diâmetro: 1/2 POL
Espessura: 2 MM
Pressão Máxima: 10,34 BAR.
Cor: Verde/Cristal</t>
    </r>
  </si>
  <si>
    <r>
      <t>Óculos de proteção</t>
    </r>
    <r>
      <rPr>
        <sz val="11"/>
        <color theme="9" tint="-0.249977111117893"/>
        <rFont val="Arial"/>
        <family val="2"/>
      </rPr>
      <t xml:space="preserve"> Óculos Proteção
Material Armação: Plástico Rígido
Tipo Proteção: Ampla Visão
Material Proteção: Policarbonato
Tipo Lente: Policarbonato Translúcido
Cor Lente: Incolor
Aplicação: Contra Impactos De Particulas E Ráios Ultravioleta
Características Adicionais: Ajuste Por Tirante Elástico Apresilhadas Nas Later</t>
    </r>
  </si>
  <si>
    <r>
      <t>Pá p/ lixo de plástico, cabo longo</t>
    </r>
    <r>
      <rPr>
        <sz val="11"/>
        <color theme="9" tint="-0.249977111117893"/>
        <rFont val="Arial"/>
        <family val="2"/>
      </rPr>
      <t xml:space="preserve"> Pá Coletora Lixo
Material Coletor: Poliestireno
Material Cabo: Alumínio
Comprimento Cabo: 80 CM
Comprimento: 28 CM
Largura: 28 CM
Altura: 81 CM
Aplicação: Limpeza
Modelo: Com Tampa</t>
    </r>
  </si>
  <si>
    <r>
      <t xml:space="preserve">Rodo de plástico c/ borracha dupla c/base de 40 cm </t>
    </r>
    <r>
      <rPr>
        <sz val="11"/>
        <color theme="9" tint="-0.249977111117893"/>
        <rFont val="Arial"/>
        <family val="2"/>
      </rPr>
      <t>Rodo
Material Cabo: Madeira Com Capa Plástica
Material Suporte: Madeira
Comprimento Suporte: 40 CM
Quantidade Borrachas: 2 UN
Características Adicionais: Cabo 1,40 M</t>
    </r>
  </si>
  <si>
    <r>
      <t>Sinalizador para piso molhado/Placa de advertência “piso escorregadio”</t>
    </r>
    <r>
      <rPr>
        <sz val="11"/>
        <color theme="9" tint="-0.249977111117893"/>
        <rFont val="Arial"/>
        <family val="2"/>
      </rPr>
      <t xml:space="preserve"> Cavalete Sinalização
Material: Polipropileno
Largura: 0,23 M
Altura: 60 CM
Cor: Laranja/Amarelo
Características Adicionais: Dobrável, Conforme Modelo Do Órgão
Aplicação: Advertência Piso Escorregadio</t>
    </r>
  </si>
  <si>
    <r>
      <t xml:space="preserve">Vassoura de pelo </t>
    </r>
    <r>
      <rPr>
        <sz val="11"/>
        <color theme="9" tint="-0.249977111117893"/>
        <rFont val="Arial"/>
        <family val="2"/>
      </rPr>
      <t>Vassoura
Material Cerdas: Pêlo Sintético
Material Cepa: Madeira
Comprimento Cepa: 40 CM
Características Adicionais: Cabo Rosqueável, 1,20 M
Largura Cepa: 4,5 CM</t>
    </r>
  </si>
  <si>
    <r>
      <t xml:space="preserve">Vassoura cerdas nylon </t>
    </r>
    <r>
      <rPr>
        <sz val="11"/>
        <color theme="9" tint="-0.249977111117893"/>
        <rFont val="Arial"/>
        <family val="2"/>
      </rPr>
      <t>Vassoura
Material Cerdas: Náilon
Material Cepa: Polipropileno
Comprimento Cepa: 25 CM
Características Adicionais: Com Ponteira Alça, Cabo Rosqueado De 1,20 M</t>
    </r>
  </si>
  <si>
    <r>
      <t>Vassourão de piaçava com 50 cm.</t>
    </r>
    <r>
      <rPr>
        <sz val="11"/>
        <color theme="9" tint="-0.249977111117893"/>
        <rFont val="Arial"/>
        <family val="2"/>
      </rPr>
      <t xml:space="preserve"> Vassoura
Material Cerdas: Piaçava
Material Cabo: Madeira
Material Cepa: Madeira
Comprimento Cepa: 50 CM
Características Adicionais: 36 Furos, 13 Cm De Piaçava Fora Da Cepa, Cepa Com
Largura Cepa: 5 CM
Altura Cepa: 5 CM
Comprimento Cabo: 110 CM</t>
    </r>
  </si>
  <si>
    <r>
      <t xml:space="preserve">Vassoura tipo mop sec </t>
    </r>
    <r>
      <rPr>
        <sz val="11"/>
        <color theme="9" tint="-0.249977111117893"/>
        <rFont val="Arial"/>
        <family val="2"/>
      </rPr>
      <t>Mop Pó
Material: Fibras De Algodão
Aplicação: Limpeza
Gramatura: 300 G/M2
Características Adicionais: Alumínio, Cabo 1,50 M, Lavável E Adaptável
Base Do Mop: 60 CM</t>
    </r>
  </si>
  <si>
    <r>
      <t xml:space="preserve">Vassoura p/ limpar teto </t>
    </r>
    <r>
      <rPr>
        <sz val="11"/>
        <color theme="9" tint="-0.249977111117893"/>
        <rFont val="Arial"/>
        <family val="2"/>
      </rPr>
      <t>Vassoura
Material Cerdas: Sisal
Material Cabo: Madeira
Tipo: Vasculho
Aplicação: Limpeza Teto
Comprimento Cabo: 170 CM</t>
    </r>
  </si>
  <si>
    <r>
      <t>Vassoura de limpar vaso</t>
    </r>
    <r>
      <rPr>
        <sz val="11"/>
        <color theme="9" tint="-0.249977111117893"/>
        <rFont val="Arial"/>
        <family val="2"/>
      </rPr>
      <t xml:space="preserve"> Vassourinha
Material Cerda: Náilon
Material Cabo: Plástico
Aplicação: Limpeza Sanitário</t>
    </r>
  </si>
  <si>
    <r>
      <t xml:space="preserve">Fio elétrico p/ extensão, mínimo 30 metros </t>
    </r>
    <r>
      <rPr>
        <sz val="11"/>
        <color theme="9" tint="-0.249977111117893"/>
        <rFont val="Arial"/>
        <family val="2"/>
      </rPr>
      <t>Extensão Elétrica
Tipo: Flexível
Comprimento: 30 M
Componentes: 3 Tomadas Fêmeas E Plugue Terra
Tensão Nominal: 250 V
Normas Técnicas: Nbr 14136
Corrente Nominal: 10 A</t>
    </r>
  </si>
  <si>
    <r>
      <t>Dispenser</t>
    </r>
    <r>
      <rPr>
        <sz val="11"/>
        <color rgb="FF000000"/>
        <rFont val="Arial"/>
        <family val="2"/>
      </rPr>
      <t xml:space="preserve"> de “mesa” p/ sabonete líquido em material plástico transparente, c/ válvula p/ acionamento por pressão</t>
    </r>
    <r>
      <rPr>
        <i/>
        <sz val="11"/>
        <color rgb="FF000000"/>
        <rFont val="Arial"/>
        <family val="2"/>
      </rPr>
      <t xml:space="preserve"> </t>
    </r>
    <r>
      <rPr>
        <i/>
        <sz val="11"/>
        <color theme="9" tint="-0.249977111117893"/>
        <rFont val="Arial"/>
        <family val="2"/>
      </rPr>
      <t>Garrafa
Material: Plástico
Capacidade: 1.000 ML
Aplicação: Sabão Líquido
Características Adicionais: Dosador De Sabão/Roscável/Bitola Adaptador 1/2" Em</t>
    </r>
  </si>
  <si>
    <r>
      <t>Enxada com cabo</t>
    </r>
    <r>
      <rPr>
        <sz val="11"/>
        <color theme="9" tint="-0.249977111117893"/>
        <rFont val="Arial"/>
        <family val="2"/>
      </rPr>
      <t xml:space="preserve"> Enxada
Material: Aço Carbono
Material Encaixe Cabo: Ferro Fundido
Largura: 30 CM
Altura: 18 CM
Peso: 1 KG
Tipo: Estampado(Achatado)
Material Cabo: Madeira
Comprimento Cabo: 150 CM</t>
    </r>
  </si>
  <si>
    <r>
      <t xml:space="preserve">Facão </t>
    </r>
    <r>
      <rPr>
        <sz val="11"/>
        <color theme="9" tint="-0.249977111117893"/>
        <rFont val="Arial"/>
        <family val="2"/>
      </rPr>
      <t>Facão
Material Lâmina: Aço
Material Cabo: Polipropileno
Comprimento: 14 POL
Tipo: Para Mato
Características Adicionais: Com Bainha</t>
    </r>
  </si>
  <si>
    <r>
      <t xml:space="preserve">Rastilho </t>
    </r>
    <r>
      <rPr>
        <sz val="11"/>
        <color rgb="FFFF0000"/>
        <rFont val="Arial"/>
        <family val="2"/>
      </rPr>
      <t>(rastelo, ancinho?)</t>
    </r>
    <r>
      <rPr>
        <sz val="11"/>
        <color rgb="FF000000"/>
        <rFont val="Arial"/>
        <family val="2"/>
      </rPr>
      <t xml:space="preserve"> </t>
    </r>
    <r>
      <rPr>
        <sz val="11"/>
        <color theme="9" tint="-0.249977111117893"/>
        <rFont val="Arial"/>
        <family val="2"/>
      </rPr>
      <t>Ancinho Jardinagem
Material: Chapa Ferro
Quantidade Dentes: 22 UN
Altura Dentes: 420 MM
Largura Total: 320 MM
Espessura Dentes: 3,50 MM
Características Adicionais: Com Cabo Madeira</t>
    </r>
  </si>
  <si>
    <r>
      <t xml:space="preserve">Vassoura grande de varrer pátio </t>
    </r>
    <r>
      <rPr>
        <sz val="11"/>
        <color theme="9" tint="-0.249977111117893"/>
        <rFont val="Arial"/>
        <family val="2"/>
      </rPr>
      <t>Vassoura Jardinagem
Tipo: Fixa
Material Cerdas: Polipropileno Alta Resistência
Características Adicionais: Com Cabo 120 Cm
Quantidade Lâminas: 22 UN</t>
    </r>
  </si>
  <si>
    <r>
      <t xml:space="preserve">Aspersor de água reto </t>
    </r>
    <r>
      <rPr>
        <sz val="11"/>
        <color theme="9" tint="-0.249977111117893"/>
        <rFont val="Arial"/>
        <family val="2"/>
      </rPr>
      <t>Aspersor
Material: Polietileno
Aplicação: Irrigação
Pressão: 1,4 A 3,8 BAR.
Vazão: 0,29 A A,49 M3/H</t>
    </r>
  </si>
  <si>
    <r>
      <t>Tesoura para pode de árvore</t>
    </r>
    <r>
      <rPr>
        <sz val="11"/>
        <color theme="9" tint="-0.249977111117893"/>
        <rFont val="Arial"/>
        <family val="2"/>
      </rPr>
      <t xml:space="preserve"> Tesoura Poda
Material Lâmina: Chapa Galvanizada
Características Adicionais: Com Guilhotina De Mola
Comprimento: 30 CM
Formato: Bico De Gavião</t>
    </r>
  </si>
  <si>
    <t>485736 ou 315412</t>
  </si>
  <si>
    <t>485731 ou 247031</t>
  </si>
  <si>
    <r>
      <rPr>
        <sz val="10"/>
        <color rgb="FFFF0000"/>
        <rFont val="Franklin Gothic Book"/>
        <family val="2"/>
      </rPr>
      <t xml:space="preserve">Ácido muriático </t>
    </r>
    <r>
      <rPr>
        <sz val="10"/>
        <color theme="9" tint="-0.249977111117893"/>
        <rFont val="Franklin Gothic Book"/>
        <family val="2"/>
      </rPr>
      <t>Desengraxante; Aspecto Físico: Líquido; Aplicação: Limpeza Em Geral; Características Adicionais: Solúvel Em Água. Composição: Ácido: Sulfônico, Fluorídrico, Muriático</t>
    </r>
  </si>
  <si>
    <t>Sabonete em pedra 90 gramas</t>
  </si>
  <si>
    <t>Disco limpador verde, 410 mm para enceradeira profissional, marca Bettanin ou de melhor qualidade</t>
  </si>
  <si>
    <t>Disco limpador preto, 410 mm para enceradeira profissional, marca Bettanin ou de melhor qualidade</t>
  </si>
  <si>
    <t>Disco limpador branco, 410 mm para enceradeira profissional, marca Bettanin ou de melhor qualidade</t>
  </si>
  <si>
    <t>Disco limpador verde, 350 mm para enceradeira profissional, marca Bettanin ou de melhor qualidade</t>
  </si>
  <si>
    <t>Disco limpador preto, 350 mm para enceradeira profissional, marca Bettanin ou de melhor qualidade</t>
  </si>
  <si>
    <t>Disco limpador branco, 350 mm para enceradeira profissional, marca Bettanin ou de melhor qualidade</t>
  </si>
  <si>
    <t>TOTAL MATERIAIS</t>
  </si>
  <si>
    <t>TOTAL EQUIPAMENTOS</t>
  </si>
  <si>
    <t>Bandeja em aço inoxidável, com alças, acabamento decorado, tamanho grande</t>
  </si>
  <si>
    <t>Garrafa térmica de pressão, com capacidade aproximada de 1,9 litros, acabamento interno e externo em aço inoxidável, inquebrável, sem ampola de vidro.</t>
  </si>
  <si>
    <t>Garrafa térmica tipo jarra, com capacidade aproximada de 1,0 litro, acabamento em aço inoxidável, alça fixa e bico direcionador com corta-gotas, abertura por rosca.</t>
  </si>
  <si>
    <t>Bule em alumínio, com capacidade de 05 litros</t>
  </si>
  <si>
    <t>Colher grande e resistente, em aço inox, tipo para servir arroz</t>
  </si>
  <si>
    <t>Balde, capacidade 05 litros.</t>
  </si>
  <si>
    <t>Potes para mantimentos (café, chá e açúcar). Conjunto de 3 unidades cada.</t>
  </si>
  <si>
    <t>Carrinhos com rodízios, para servir café, chá e/ou água quente</t>
  </si>
  <si>
    <t>Escova para lavagem de garrafa térmica</t>
  </si>
  <si>
    <t>Pano de prato, branco, 100% algodão.</t>
  </si>
  <si>
    <t>Pano de pia, super absorvente</t>
  </si>
  <si>
    <t>Coador de pano grande para máquina de café da contratante</t>
  </si>
  <si>
    <t>Coador de pano médio, para bule de 02 litros</t>
  </si>
  <si>
    <t>Coador de pano médio, para bule de 05 litros</t>
  </si>
  <si>
    <t>473584, 374447 ou 362038</t>
  </si>
  <si>
    <t>Limpeza de Fachada</t>
  </si>
  <si>
    <t>Qtde Total [D]</t>
  </si>
  <si>
    <t>Metro Quadrado</t>
  </si>
  <si>
    <t>lixeira 15L</t>
  </si>
  <si>
    <t>lixeira 60L</t>
  </si>
  <si>
    <t>Superintendência</t>
  </si>
  <si>
    <t>Posto Avançado - Bonfim</t>
  </si>
  <si>
    <t>Delegacia Pacaraima</t>
  </si>
  <si>
    <t>RR000013/2022</t>
  </si>
  <si>
    <r>
      <rPr>
        <b/>
        <sz val="11"/>
        <color rgb="FFFF0000"/>
        <rFont val="Franklin Gothic Book"/>
        <family val="2"/>
      </rPr>
      <t xml:space="preserve">Boa Vista </t>
    </r>
    <r>
      <rPr>
        <sz val="11"/>
        <color rgb="FF000000"/>
        <rFont val="Franklin Gothic Book"/>
        <family val="2"/>
      </rPr>
      <t>- Roraima</t>
    </r>
  </si>
  <si>
    <r>
      <rPr>
        <b/>
        <sz val="11"/>
        <color rgb="FFFF0000"/>
        <rFont val="Franklin Gothic Book"/>
        <family val="2"/>
      </rPr>
      <t xml:space="preserve">Pacaraima </t>
    </r>
    <r>
      <rPr>
        <sz val="11"/>
        <color rgb="FF000000"/>
        <rFont val="Franklin Gothic Book"/>
        <family val="2"/>
      </rPr>
      <t>- Roraima</t>
    </r>
  </si>
  <si>
    <r>
      <rPr>
        <b/>
        <sz val="11"/>
        <color rgb="FFFF0000"/>
        <rFont val="Franklin Gothic Book"/>
        <family val="2"/>
      </rPr>
      <t xml:space="preserve">Bonfim </t>
    </r>
    <r>
      <rPr>
        <sz val="11"/>
        <color rgb="FF000000"/>
        <rFont val="Franklin Gothic Book"/>
        <family val="2"/>
      </rPr>
      <t>- Roraima</t>
    </r>
  </si>
  <si>
    <t>Posto Av</t>
  </si>
  <si>
    <t>PAC</t>
  </si>
  <si>
    <r>
      <t>ISS -</t>
    </r>
    <r>
      <rPr>
        <sz val="11"/>
        <color rgb="FFFF0000"/>
        <rFont val="Franklin Gothic Book"/>
        <family val="2"/>
      </rPr>
      <t xml:space="preserve"> Boa Vista/RR</t>
    </r>
  </si>
  <si>
    <r>
      <t>ISS - Pacaraima</t>
    </r>
    <r>
      <rPr>
        <sz val="11"/>
        <color rgb="FFFF0000"/>
        <rFont val="Franklin Gothic Book"/>
        <family val="2"/>
      </rPr>
      <t>/RR</t>
    </r>
  </si>
  <si>
    <r>
      <t xml:space="preserve">ISS - </t>
    </r>
    <r>
      <rPr>
        <sz val="11"/>
        <color rgb="FFFF0000"/>
        <rFont val="Franklin Gothic Book"/>
        <family val="2"/>
      </rPr>
      <t>Bonfim/RR</t>
    </r>
  </si>
  <si>
    <t>Superintendência (SR)</t>
  </si>
  <si>
    <t>P/A</t>
  </si>
  <si>
    <t>Qtd/valor mensal</t>
  </si>
  <si>
    <t>Qtd/Depreciação mensal</t>
  </si>
  <si>
    <t>xx/2022-200384</t>
  </si>
  <si>
    <t>Auxiliar de Serviços Gerais (interno) - Início da vigência: 12/12/2022.</t>
  </si>
  <si>
    <t>Auxiliar de Serviços Gerais (externo) - Início da vigência: 12/12/2022.</t>
  </si>
  <si>
    <t>Auxiliar de Serviços Gerais - Início da vigência: 12/12/2022.</t>
  </si>
  <si>
    <r>
      <t xml:space="preserve">Auxiliar de Serviços Gerais - Início da vigência: </t>
    </r>
    <r>
      <rPr>
        <sz val="12"/>
        <color rgb="FFFF0000"/>
        <rFont val="Times New Roman"/>
        <family val="1"/>
      </rPr>
      <t>25/09/2023</t>
    </r>
    <r>
      <rPr>
        <sz val="12"/>
        <color rgb="FF00000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</si>
</sst>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%"/>
    <numFmt numFmtId="166" formatCode="0.0000"/>
    <numFmt numFmtId="167" formatCode="&quot;R$&quot;\ #,##0.00"/>
    <numFmt numFmtId="168" formatCode="0.0000%"/>
    <numFmt numFmtId="169" formatCode="0.0"/>
    <numFmt numFmtId="170" formatCode="_-&quot;R$&quot;\ * #,##0.00_-;\(\-&quot;R$&quot;\ * #,##0.00\);_-&quot;R$&quot;\ * &quot;-&quot;??_-;_-@_-"/>
    <numFmt numFmtId="171" formatCode="#,##0_ ;[Red]\-#,##0\ "/>
    <numFmt numFmtId="172" formatCode="0.0000000000000"/>
    <numFmt numFmtId="173" formatCode="&quot;R$&quot;\ #,##0.000000"/>
    <numFmt numFmtId="174" formatCode="_-&quot;R$&quot;\ * #,##0.000000000_-;\-&quot;R$&quot;\ * #,##0.000000000_-;_-&quot;R$&quot;\ 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Franklin Gothic Book"/>
      <family val="2"/>
    </font>
    <font>
      <sz val="11"/>
      <color theme="1"/>
      <name val="Franklin Gothic Book"/>
      <family val="2"/>
    </font>
    <font>
      <sz val="11"/>
      <color rgb="FF000000"/>
      <name val="Franklin Gothic Book"/>
      <family val="2"/>
    </font>
    <font>
      <b/>
      <sz val="11"/>
      <color theme="1"/>
      <name val="Franklin Gothic Book"/>
      <family val="2"/>
    </font>
    <font>
      <sz val="11"/>
      <name val="Franklin Gothic Book"/>
      <family val="2"/>
    </font>
    <font>
      <sz val="11"/>
      <color rgb="FFFF0000"/>
      <name val="Franklin Gothic Book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Franklin Gothic Book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1"/>
      <name val="Franklin Gothic Book"/>
      <family val="2"/>
    </font>
    <font>
      <i/>
      <sz val="11"/>
      <color theme="1"/>
      <name val="Franklin Gothic Book"/>
      <family val="2"/>
    </font>
    <font>
      <i/>
      <sz val="11"/>
      <color rgb="FF000000"/>
      <name val="Franklin Gothic Book"/>
      <family val="2"/>
    </font>
    <font>
      <sz val="9"/>
      <color theme="1"/>
      <name val="Franklin Gothic Book"/>
      <family val="2"/>
    </font>
    <font>
      <b/>
      <sz val="11"/>
      <color rgb="FFFF0000"/>
      <name val="Franklin Gothic Book"/>
      <family val="2"/>
    </font>
    <font>
      <sz val="11"/>
      <color rgb="FFFF0000"/>
      <name val="Calibri"/>
      <family val="2"/>
      <scheme val="minor"/>
    </font>
    <font>
      <sz val="10"/>
      <color theme="1"/>
      <name val="Franklin Gothic Book"/>
      <family val="2"/>
    </font>
    <font>
      <sz val="10"/>
      <color rgb="FF000000"/>
      <name val="Franklin Gothic Book"/>
      <family val="2"/>
    </font>
    <font>
      <sz val="10"/>
      <name val="Franklin Gothic Book"/>
      <family val="2"/>
    </font>
    <font>
      <sz val="10"/>
      <color rgb="FFFF0000"/>
      <name val="Franklin Gothic Book"/>
      <family val="2"/>
    </font>
    <font>
      <b/>
      <sz val="10.5"/>
      <color rgb="FF000000"/>
      <name val="Arial"/>
      <family val="2"/>
    </font>
    <font>
      <sz val="11"/>
      <color rgb="FF000000"/>
      <name val="Arial"/>
      <family val="2"/>
    </font>
    <font>
      <sz val="10.5"/>
      <color rgb="FF000000"/>
      <name val="Arial"/>
      <family val="2"/>
    </font>
    <font>
      <sz val="11"/>
      <color rgb="FFFF0000"/>
      <name val="Arial"/>
      <family val="2"/>
    </font>
    <font>
      <sz val="10.5"/>
      <color rgb="FFFF0000"/>
      <name val="Arial"/>
      <family val="2"/>
    </font>
    <font>
      <i/>
      <sz val="11"/>
      <color rgb="FFFF0000"/>
      <name val="Arial"/>
      <family val="2"/>
    </font>
    <font>
      <sz val="11"/>
      <color rgb="FF4472C4"/>
      <name val="Arial"/>
      <family val="2"/>
    </font>
    <font>
      <sz val="10.5"/>
      <color rgb="FF4472C4"/>
      <name val="Arial"/>
      <family val="2"/>
    </font>
    <font>
      <sz val="11"/>
      <color rgb="FFC65911"/>
      <name val="Arial"/>
      <family val="2"/>
    </font>
    <font>
      <sz val="10.5"/>
      <color rgb="FFC65911"/>
      <name val="Arial"/>
      <family val="2"/>
    </font>
    <font>
      <i/>
      <sz val="11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9" tint="-0.249977111117893"/>
      <name val="Arial"/>
      <family val="2"/>
    </font>
    <font>
      <sz val="10"/>
      <color theme="9" tint="-0.249977111117893"/>
      <name val="Franklin Gothic Book"/>
      <family val="2"/>
    </font>
    <font>
      <i/>
      <sz val="11"/>
      <color theme="9" tint="-0.249977111117893"/>
      <name val="Arial"/>
      <family val="2"/>
    </font>
    <font>
      <b/>
      <sz val="9"/>
      <color indexed="81"/>
      <name val="Segoe UI"/>
      <charset val="1"/>
    </font>
    <font>
      <sz val="11"/>
      <color theme="9"/>
      <name val="Arial"/>
      <family val="2"/>
    </font>
    <font>
      <b/>
      <sz val="10"/>
      <color rgb="FF000000"/>
      <name val="Franklin Gothic Book"/>
      <family val="2"/>
    </font>
    <font>
      <sz val="12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ED6"/>
        <bgColor indexed="64"/>
      </patternFill>
    </fill>
    <fill>
      <patternFill patternType="solid">
        <fgColor rgb="FFFFF6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8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7">
    <xf numFmtId="0" fontId="0" fillId="0" borderId="0" xfId="0"/>
    <xf numFmtId="44" fontId="5" fillId="0" borderId="3" xfId="2" applyFont="1" applyBorder="1" applyAlignment="1">
      <alignment vertical="center"/>
    </xf>
    <xf numFmtId="0" fontId="0" fillId="0" borderId="32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15" xfId="0" applyBorder="1" applyAlignment="1" applyProtection="1">
      <alignment horizontal="center" vertical="center" wrapText="1"/>
    </xf>
    <xf numFmtId="1" fontId="0" fillId="0" borderId="9" xfId="1" applyNumberFormat="1" applyFont="1" applyBorder="1" applyAlignment="1" applyProtection="1">
      <alignment horizontal="center" vertical="center" wrapText="1"/>
    </xf>
    <xf numFmtId="0" fontId="0" fillId="0" borderId="3" xfId="0" applyBorder="1"/>
    <xf numFmtId="44" fontId="0" fillId="0" borderId="0" xfId="0" applyNumberFormat="1"/>
    <xf numFmtId="168" fontId="0" fillId="0" borderId="0" xfId="3" applyNumberFormat="1" applyFont="1"/>
    <xf numFmtId="0" fontId="0" fillId="11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0" xfId="6" applyFont="1"/>
    <xf numFmtId="164" fontId="0" fillId="11" borderId="3" xfId="6" applyFont="1" applyFill="1" applyBorder="1" applyAlignment="1">
      <alignment horizontal="center"/>
    </xf>
    <xf numFmtId="164" fontId="0" fillId="0" borderId="3" xfId="6" applyFont="1" applyBorder="1"/>
    <xf numFmtId="0" fontId="10" fillId="0" borderId="25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0" fillId="5" borderId="0" xfId="0" applyFill="1"/>
    <xf numFmtId="0" fontId="0" fillId="5" borderId="0" xfId="0" applyFill="1" applyProtection="1"/>
    <xf numFmtId="0" fontId="0" fillId="0" borderId="0" xfId="0"/>
    <xf numFmtId="0" fontId="0" fillId="8" borderId="0" xfId="0" applyFill="1"/>
    <xf numFmtId="167" fontId="0" fillId="8" borderId="0" xfId="0" applyNumberFormat="1" applyFill="1"/>
    <xf numFmtId="0" fontId="4" fillId="5" borderId="0" xfId="0" applyFont="1" applyFill="1" applyProtection="1"/>
    <xf numFmtId="0" fontId="5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vertical="center"/>
    </xf>
    <xf numFmtId="9" fontId="5" fillId="0" borderId="3" xfId="0" applyNumberFormat="1" applyFont="1" applyBorder="1" applyAlignment="1" applyProtection="1">
      <alignment horizontal="center" vertical="center"/>
    </xf>
    <xf numFmtId="10" fontId="5" fillId="2" borderId="3" xfId="3" applyNumberFormat="1" applyFont="1" applyFill="1" applyBorder="1" applyAlignment="1" applyProtection="1">
      <alignment horizontal="center" vertical="center"/>
    </xf>
    <xf numFmtId="10" fontId="3" fillId="4" borderId="3" xfId="3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</xf>
    <xf numFmtId="10" fontId="7" fillId="2" borderId="8" xfId="5" applyNumberFormat="1" applyFont="1" applyFill="1" applyBorder="1" applyAlignment="1" applyProtection="1">
      <alignment horizontal="center" vertical="center"/>
    </xf>
    <xf numFmtId="10" fontId="3" fillId="4" borderId="4" xfId="3" applyNumberFormat="1" applyFont="1" applyFill="1" applyBorder="1" applyAlignment="1" applyProtection="1">
      <alignment horizontal="center" vertical="center"/>
    </xf>
    <xf numFmtId="10" fontId="5" fillId="0" borderId="4" xfId="3" applyNumberFormat="1" applyFont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</xf>
    <xf numFmtId="10" fontId="5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/>
    </xf>
    <xf numFmtId="169" fontId="5" fillId="2" borderId="3" xfId="0" applyNumberFormat="1" applyFont="1" applyFill="1" applyBorder="1" applyAlignment="1" applyProtection="1">
      <alignment horizontal="center" vertical="center"/>
    </xf>
    <xf numFmtId="10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/>
    </xf>
    <xf numFmtId="10" fontId="5" fillId="0" borderId="3" xfId="3" applyNumberFormat="1" applyFont="1" applyBorder="1" applyAlignment="1" applyProtection="1">
      <alignment horizontal="center" vertical="center"/>
    </xf>
    <xf numFmtId="10" fontId="5" fillId="2" borderId="4" xfId="3" applyNumberFormat="1" applyFont="1" applyFill="1" applyBorder="1" applyAlignment="1" applyProtection="1">
      <alignment horizontal="center" vertical="center"/>
    </xf>
    <xf numFmtId="10" fontId="5" fillId="2" borderId="4" xfId="3" applyNumberFormat="1" applyFont="1" applyFill="1" applyBorder="1" applyAlignment="1" applyProtection="1">
      <alignment vertical="center"/>
    </xf>
    <xf numFmtId="10" fontId="5" fillId="0" borderId="3" xfId="3" applyNumberFormat="1" applyFont="1" applyBorder="1" applyAlignment="1" applyProtection="1">
      <alignment vertical="center"/>
    </xf>
    <xf numFmtId="10" fontId="3" fillId="4" borderId="3" xfId="3" applyNumberFormat="1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horizontal="left" vertical="justify"/>
      <protection locked="0"/>
    </xf>
    <xf numFmtId="9" fontId="4" fillId="12" borderId="3" xfId="3" applyFont="1" applyFill="1" applyBorder="1" applyAlignment="1" applyProtection="1">
      <alignment horizontal="center" vertical="justify"/>
      <protection locked="0"/>
    </xf>
    <xf numFmtId="170" fontId="5" fillId="13" borderId="3" xfId="0" applyNumberFormat="1" applyFont="1" applyFill="1" applyBorder="1" applyAlignment="1" applyProtection="1">
      <alignment horizontal="right" vertical="center"/>
    </xf>
    <xf numFmtId="170" fontId="5" fillId="8" borderId="3" xfId="0" applyNumberFormat="1" applyFont="1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 wrapText="1"/>
    </xf>
    <xf numFmtId="10" fontId="7" fillId="12" borderId="8" xfId="3" applyNumberFormat="1" applyFont="1" applyFill="1" applyBorder="1" applyAlignment="1" applyProtection="1">
      <alignment horizontal="center" vertical="center"/>
      <protection locked="0"/>
    </xf>
    <xf numFmtId="10" fontId="3" fillId="12" borderId="3" xfId="3" applyNumberFormat="1" applyFont="1" applyFill="1" applyBorder="1" applyAlignment="1" applyProtection="1">
      <alignment horizontal="center" vertical="center"/>
      <protection locked="0"/>
    </xf>
    <xf numFmtId="10" fontId="5" fillId="12" borderId="3" xfId="0" applyNumberFormat="1" applyFont="1" applyFill="1" applyBorder="1" applyAlignment="1" applyProtection="1">
      <alignment horizontal="center" vertical="center"/>
      <protection locked="0"/>
    </xf>
    <xf numFmtId="10" fontId="5" fillId="12" borderId="4" xfId="3" applyNumberFormat="1" applyFont="1" applyFill="1" applyBorder="1" applyAlignment="1" applyProtection="1">
      <alignment horizontal="center" vertical="center"/>
      <protection locked="0"/>
    </xf>
    <xf numFmtId="10" fontId="5" fillId="12" borderId="4" xfId="3" applyNumberFormat="1" applyFont="1" applyFill="1" applyBorder="1" applyAlignment="1" applyProtection="1">
      <alignment vertical="center"/>
      <protection locked="0"/>
    </xf>
    <xf numFmtId="171" fontId="4" fillId="0" borderId="3" xfId="0" applyNumberFormat="1" applyFont="1" applyBorder="1" applyAlignment="1" applyProtection="1">
      <alignment horizontal="center" vertical="center"/>
    </xf>
    <xf numFmtId="10" fontId="5" fillId="8" borderId="3" xfId="0" applyNumberFormat="1" applyFont="1" applyFill="1" applyBorder="1" applyAlignment="1" applyProtection="1">
      <alignment horizontal="center" vertical="center"/>
    </xf>
    <xf numFmtId="0" fontId="4" fillId="12" borderId="3" xfId="0" applyFont="1" applyFill="1" applyBorder="1" applyAlignment="1" applyProtection="1">
      <alignment horizontal="center" vertical="justify"/>
      <protection locked="0"/>
    </xf>
    <xf numFmtId="14" fontId="7" fillId="12" borderId="3" xfId="0" applyNumberFormat="1" applyFont="1" applyFill="1" applyBorder="1" applyAlignment="1" applyProtection="1">
      <alignment horizontal="center" vertical="center"/>
      <protection locked="0"/>
    </xf>
    <xf numFmtId="0" fontId="4" fillId="12" borderId="3" xfId="0" applyFont="1" applyFill="1" applyBorder="1" applyAlignment="1" applyProtection="1">
      <alignment vertical="center" wrapText="1"/>
      <protection locked="0"/>
    </xf>
    <xf numFmtId="0" fontId="4" fillId="12" borderId="3" xfId="0" applyFont="1" applyFill="1" applyBorder="1" applyAlignment="1" applyProtection="1">
      <alignment vertical="center"/>
      <protection locked="0"/>
    </xf>
    <xf numFmtId="10" fontId="5" fillId="2" borderId="4" xfId="3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right" vertical="center" indent="2"/>
    </xf>
    <xf numFmtId="9" fontId="5" fillId="12" borderId="3" xfId="3" applyFont="1" applyFill="1" applyBorder="1" applyAlignment="1" applyProtection="1">
      <alignment horizontal="center" vertical="center"/>
    </xf>
    <xf numFmtId="166" fontId="5" fillId="2" borderId="3" xfId="3" applyNumberFormat="1" applyFont="1" applyFill="1" applyBorder="1" applyAlignment="1" applyProtection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8"/>
    </xf>
    <xf numFmtId="1" fontId="5" fillId="14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1" fontId="5" fillId="14" borderId="3" xfId="3" applyNumberFormat="1" applyFont="1" applyFill="1" applyBorder="1" applyAlignment="1">
      <alignment horizontal="center" vertical="center"/>
    </xf>
    <xf numFmtId="169" fontId="5" fillId="14" borderId="3" xfId="3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 applyProtection="1">
      <alignment horizontal="center" vertical="center"/>
    </xf>
    <xf numFmtId="1" fontId="7" fillId="12" borderId="3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vertical="center" wrapText="1"/>
    </xf>
    <xf numFmtId="0" fontId="19" fillId="2" borderId="3" xfId="0" applyFont="1" applyFill="1" applyBorder="1" applyAlignment="1" applyProtection="1">
      <alignment vertical="center" wrapText="1"/>
    </xf>
    <xf numFmtId="10" fontId="20" fillId="2" borderId="4" xfId="3" applyNumberFormat="1" applyFont="1" applyFill="1" applyBorder="1" applyAlignment="1" applyProtection="1">
      <alignment horizontal="center" vertical="center"/>
    </xf>
    <xf numFmtId="10" fontId="5" fillId="12" borderId="4" xfId="3" applyNumberFormat="1" applyFont="1" applyFill="1" applyBorder="1" applyAlignment="1" applyProtection="1">
      <alignment horizontal="center" vertical="center"/>
    </xf>
    <xf numFmtId="0" fontId="5" fillId="2" borderId="4" xfId="3" applyNumberFormat="1" applyFont="1" applyFill="1" applyBorder="1" applyAlignment="1" applyProtection="1">
      <alignment horizontal="center" vertical="center"/>
    </xf>
    <xf numFmtId="10" fontId="5" fillId="8" borderId="4" xfId="3" applyNumberFormat="1" applyFont="1" applyFill="1" applyBorder="1" applyAlignment="1" applyProtection="1">
      <alignment horizontal="center" vertical="center"/>
    </xf>
    <xf numFmtId="10" fontId="4" fillId="0" borderId="3" xfId="0" applyNumberFormat="1" applyFont="1" applyBorder="1" applyAlignment="1" applyProtection="1">
      <alignment horizontal="center" vertical="center"/>
    </xf>
    <xf numFmtId="10" fontId="8" fillId="0" borderId="3" xfId="0" applyNumberFormat="1" applyFont="1" applyBorder="1" applyAlignment="1" applyProtection="1">
      <alignment horizontal="center" vertical="center"/>
    </xf>
    <xf numFmtId="10" fontId="4" fillId="0" borderId="3" xfId="0" applyNumberFormat="1" applyFont="1" applyFill="1" applyBorder="1" applyAlignment="1" applyProtection="1">
      <alignment horizontal="center" vertical="center"/>
    </xf>
    <xf numFmtId="10" fontId="5" fillId="2" borderId="3" xfId="3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</xf>
    <xf numFmtId="8" fontId="0" fillId="0" borderId="12" xfId="0" applyNumberFormat="1" applyBorder="1" applyAlignment="1" applyProtection="1">
      <alignment horizontal="center" vertical="center" wrapText="1"/>
    </xf>
    <xf numFmtId="8" fontId="0" fillId="0" borderId="33" xfId="0" applyNumberFormat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8" fontId="0" fillId="0" borderId="31" xfId="0" applyNumberFormat="1" applyBorder="1" applyAlignment="1" applyProtection="1">
      <alignment horizontal="center" vertical="center" wrapText="1"/>
    </xf>
    <xf numFmtId="44" fontId="4" fillId="12" borderId="3" xfId="2" applyFont="1" applyFill="1" applyBorder="1" applyAlignment="1" applyProtection="1">
      <alignment horizontal="center"/>
      <protection locked="0"/>
    </xf>
    <xf numFmtId="44" fontId="5" fillId="0" borderId="3" xfId="2" applyFont="1" applyBorder="1" applyAlignment="1" applyProtection="1">
      <alignment horizontal="right" vertical="center"/>
    </xf>
    <xf numFmtId="44" fontId="5" fillId="0" borderId="3" xfId="2" applyFont="1" applyBorder="1" applyAlignment="1" applyProtection="1">
      <alignment vertical="center"/>
    </xf>
    <xf numFmtId="44" fontId="5" fillId="2" borderId="3" xfId="2" applyFont="1" applyFill="1" applyBorder="1" applyAlignment="1">
      <alignment vertical="center"/>
    </xf>
    <xf numFmtId="44" fontId="5" fillId="12" borderId="3" xfId="2" applyFont="1" applyFill="1" applyBorder="1" applyAlignment="1" applyProtection="1">
      <alignment vertical="center"/>
      <protection locked="0"/>
    </xf>
    <xf numFmtId="44" fontId="3" fillId="4" borderId="3" xfId="2" applyFont="1" applyFill="1" applyBorder="1" applyAlignment="1" applyProtection="1">
      <alignment vertical="center"/>
    </xf>
    <xf numFmtId="8" fontId="3" fillId="4" borderId="3" xfId="0" applyNumberFormat="1" applyFont="1" applyFill="1" applyBorder="1" applyAlignment="1" applyProtection="1">
      <alignment horizontal="left" vertical="center"/>
    </xf>
    <xf numFmtId="8" fontId="3" fillId="4" borderId="3" xfId="0" applyNumberFormat="1" applyFont="1" applyFill="1" applyBorder="1" applyAlignment="1" applyProtection="1">
      <alignment horizontal="center" vertical="center"/>
    </xf>
    <xf numFmtId="44" fontId="7" fillId="0" borderId="3" xfId="2" applyFont="1" applyBorder="1" applyAlignment="1" applyProtection="1">
      <alignment vertical="center"/>
    </xf>
    <xf numFmtId="8" fontId="5" fillId="0" borderId="3" xfId="0" applyNumberFormat="1" applyFont="1" applyBorder="1" applyAlignment="1" applyProtection="1">
      <alignment horizontal="center" vertical="center"/>
    </xf>
    <xf numFmtId="8" fontId="5" fillId="0" borderId="3" xfId="0" applyNumberFormat="1" applyFont="1" applyBorder="1" applyAlignment="1" applyProtection="1">
      <alignment horizontal="left" vertical="center"/>
    </xf>
    <xf numFmtId="1" fontId="5" fillId="12" borderId="3" xfId="2" applyNumberFormat="1" applyFont="1" applyFill="1" applyBorder="1" applyAlignment="1" applyProtection="1">
      <alignment horizontal="center" vertical="center"/>
    </xf>
    <xf numFmtId="44" fontId="3" fillId="4" borderId="3" xfId="2" applyFont="1" applyFill="1" applyBorder="1" applyAlignment="1" applyProtection="1">
      <alignment horizontal="right" vertical="center"/>
    </xf>
    <xf numFmtId="8" fontId="3" fillId="4" borderId="6" xfId="0" applyNumberFormat="1" applyFont="1" applyFill="1" applyBorder="1" applyAlignment="1" applyProtection="1">
      <alignment horizontal="left" vertical="center"/>
    </xf>
    <xf numFmtId="8" fontId="3" fillId="4" borderId="3" xfId="0" applyNumberFormat="1" applyFont="1" applyFill="1" applyBorder="1" applyAlignment="1" applyProtection="1">
      <alignment horizontal="right" vertical="center"/>
    </xf>
    <xf numFmtId="44" fontId="3" fillId="4" borderId="3" xfId="2" applyFont="1" applyFill="1" applyBorder="1" applyAlignment="1" applyProtection="1">
      <alignment horizontal="center" vertical="center"/>
    </xf>
    <xf numFmtId="44" fontId="5" fillId="12" borderId="4" xfId="2" applyFont="1" applyFill="1" applyBorder="1" applyAlignment="1" applyProtection="1">
      <alignment horizontal="center" vertical="center"/>
    </xf>
    <xf numFmtId="44" fontId="4" fillId="0" borderId="3" xfId="2" applyFont="1" applyBorder="1" applyAlignment="1" applyProtection="1">
      <alignment horizontal="right" vertical="center"/>
    </xf>
    <xf numFmtId="8" fontId="5" fillId="0" borderId="5" xfId="0" applyNumberFormat="1" applyFont="1" applyBorder="1" applyAlignment="1" applyProtection="1">
      <alignment horizontal="right" vertical="center"/>
    </xf>
    <xf numFmtId="0" fontId="5" fillId="2" borderId="4" xfId="1" applyNumberFormat="1" applyFont="1" applyFill="1" applyBorder="1" applyAlignment="1" applyProtection="1">
      <alignment horizontal="center" vertical="center"/>
      <protection locked="0"/>
    </xf>
    <xf numFmtId="170" fontId="5" fillId="0" borderId="3" xfId="2" applyNumberFormat="1" applyFont="1" applyBorder="1" applyAlignment="1" applyProtection="1">
      <alignment horizontal="right" vertical="center"/>
    </xf>
    <xf numFmtId="9" fontId="5" fillId="2" borderId="4" xfId="2" applyNumberFormat="1" applyFont="1" applyFill="1" applyBorder="1" applyAlignment="1" applyProtection="1">
      <alignment horizontal="center" vertical="center"/>
      <protection locked="0"/>
    </xf>
    <xf numFmtId="44" fontId="5" fillId="12" borderId="4" xfId="2" applyFont="1" applyFill="1" applyBorder="1" applyAlignment="1" applyProtection="1">
      <alignment horizontal="center" vertical="center"/>
      <protection locked="0"/>
    </xf>
    <xf numFmtId="9" fontId="5" fillId="12" borderId="4" xfId="2" applyNumberFormat="1" applyFont="1" applyFill="1" applyBorder="1" applyAlignment="1" applyProtection="1">
      <alignment horizontal="center" vertical="center"/>
      <protection locked="0"/>
    </xf>
    <xf numFmtId="10" fontId="5" fillId="12" borderId="4" xfId="2" applyNumberFormat="1" applyFont="1" applyFill="1" applyBorder="1" applyAlignment="1" applyProtection="1">
      <alignment horizontal="center" vertical="center"/>
      <protection locked="0"/>
    </xf>
    <xf numFmtId="44" fontId="4" fillId="12" borderId="3" xfId="2" applyFont="1" applyFill="1" applyBorder="1" applyAlignment="1" applyProtection="1">
      <alignment horizontal="right" vertical="center"/>
      <protection locked="0"/>
    </xf>
    <xf numFmtId="44" fontId="5" fillId="12" borderId="4" xfId="2" applyNumberFormat="1" applyFont="1" applyFill="1" applyBorder="1" applyAlignment="1" applyProtection="1">
      <alignment horizontal="center" vertical="center"/>
      <protection locked="0"/>
    </xf>
    <xf numFmtId="44" fontId="5" fillId="12" borderId="3" xfId="2" applyFont="1" applyFill="1" applyBorder="1" applyAlignment="1" applyProtection="1">
      <alignment horizontal="right" vertical="center"/>
      <protection locked="0"/>
    </xf>
    <xf numFmtId="44" fontId="5" fillId="2" borderId="3" xfId="0" applyNumberFormat="1" applyFont="1" applyFill="1" applyBorder="1" applyAlignment="1" applyProtection="1">
      <alignment horizontal="right" vertical="center"/>
    </xf>
    <xf numFmtId="44" fontId="7" fillId="2" borderId="3" xfId="0" applyNumberFormat="1" applyFont="1" applyFill="1" applyBorder="1" applyAlignment="1" applyProtection="1">
      <alignment horizontal="right" vertical="center"/>
    </xf>
    <xf numFmtId="44" fontId="5" fillId="2" borderId="3" xfId="2" applyFont="1" applyFill="1" applyBorder="1" applyAlignment="1" applyProtection="1">
      <alignment horizontal="right" vertical="center"/>
    </xf>
    <xf numFmtId="44" fontId="5" fillId="0" borderId="4" xfId="3" applyNumberFormat="1" applyFont="1" applyBorder="1" applyAlignment="1" applyProtection="1">
      <alignment horizontal="center" vertical="center"/>
    </xf>
    <xf numFmtId="44" fontId="5" fillId="13" borderId="3" xfId="0" applyNumberFormat="1" applyFont="1" applyFill="1" applyBorder="1" applyAlignment="1" applyProtection="1">
      <alignment horizontal="right" vertical="center"/>
    </xf>
    <xf numFmtId="8" fontId="3" fillId="4" borderId="3" xfId="2" applyNumberFormat="1" applyFont="1" applyFill="1" applyBorder="1" applyAlignment="1" applyProtection="1">
      <alignment horizontal="right" vertical="center"/>
    </xf>
    <xf numFmtId="8" fontId="5" fillId="2" borderId="5" xfId="0" applyNumberFormat="1" applyFont="1" applyFill="1" applyBorder="1" applyAlignment="1" applyProtection="1">
      <alignment horizontal="center" vertical="center"/>
    </xf>
    <xf numFmtId="6" fontId="18" fillId="2" borderId="5" xfId="0" applyNumberFormat="1" applyFont="1" applyFill="1" applyBorder="1" applyAlignment="1" applyProtection="1">
      <alignment horizontal="left" vertical="center" indent="8"/>
    </xf>
    <xf numFmtId="44" fontId="20" fillId="2" borderId="4" xfId="3" applyNumberFormat="1" applyFont="1" applyFill="1" applyBorder="1" applyAlignment="1" applyProtection="1">
      <alignment horizontal="center" vertical="center"/>
    </xf>
    <xf numFmtId="44" fontId="20" fillId="2" borderId="3" xfId="2" applyFont="1" applyFill="1" applyBorder="1" applyAlignment="1" applyProtection="1">
      <alignment horizontal="right" vertical="center"/>
    </xf>
    <xf numFmtId="44" fontId="20" fillId="2" borderId="4" xfId="2" applyFont="1" applyFill="1" applyBorder="1" applyAlignment="1" applyProtection="1">
      <alignment horizontal="center" vertical="center"/>
    </xf>
    <xf numFmtId="8" fontId="5" fillId="2" borderId="6" xfId="0" applyNumberFormat="1" applyFont="1" applyFill="1" applyBorder="1" applyAlignment="1" applyProtection="1">
      <alignment horizontal="left" vertical="center"/>
    </xf>
    <xf numFmtId="44" fontId="5" fillId="2" borderId="3" xfId="0" applyNumberFormat="1" applyFont="1" applyFill="1" applyBorder="1" applyAlignment="1" applyProtection="1">
      <alignment horizontal="center" vertical="center"/>
    </xf>
    <xf numFmtId="44" fontId="5" fillId="2" borderId="3" xfId="2" applyFont="1" applyFill="1" applyBorder="1" applyAlignment="1" applyProtection="1">
      <alignment horizontal="center" vertical="center"/>
    </xf>
    <xf numFmtId="8" fontId="5" fillId="2" borderId="3" xfId="0" applyNumberFormat="1" applyFont="1" applyFill="1" applyBorder="1" applyAlignment="1" applyProtection="1">
      <alignment horizontal="left" vertical="center"/>
    </xf>
    <xf numFmtId="44" fontId="5" fillId="8" borderId="3" xfId="2" applyFont="1" applyFill="1" applyBorder="1" applyAlignment="1" applyProtection="1">
      <alignment horizontal="center" vertical="center"/>
    </xf>
    <xf numFmtId="44" fontId="4" fillId="0" borderId="3" xfId="0" applyNumberFormat="1" applyFont="1" applyBorder="1" applyProtection="1"/>
    <xf numFmtId="8" fontId="8" fillId="2" borderId="6" xfId="0" applyNumberFormat="1" applyFont="1" applyFill="1" applyBorder="1" applyAlignment="1" applyProtection="1">
      <alignment horizontal="left" vertical="center"/>
    </xf>
    <xf numFmtId="44" fontId="8" fillId="0" borderId="3" xfId="0" applyNumberFormat="1" applyFont="1" applyBorder="1" applyProtection="1"/>
    <xf numFmtId="44" fontId="4" fillId="0" borderId="3" xfId="0" applyNumberFormat="1" applyFont="1" applyFill="1" applyBorder="1" applyProtection="1"/>
    <xf numFmtId="44" fontId="5" fillId="2" borderId="3" xfId="2" applyNumberFormat="1" applyFont="1" applyFill="1" applyBorder="1" applyAlignment="1" applyProtection="1">
      <alignment horizontal="right" vertical="center"/>
    </xf>
    <xf numFmtId="44" fontId="5" fillId="0" borderId="3" xfId="2" applyNumberFormat="1" applyFont="1" applyBorder="1" applyAlignment="1" applyProtection="1">
      <alignment horizontal="center" vertical="center"/>
    </xf>
    <xf numFmtId="44" fontId="3" fillId="4" borderId="3" xfId="2" applyNumberFormat="1" applyFont="1" applyFill="1" applyBorder="1" applyAlignment="1" applyProtection="1">
      <alignment horizontal="center" vertical="center"/>
    </xf>
    <xf numFmtId="44" fontId="7" fillId="2" borderId="3" xfId="2" applyFont="1" applyFill="1" applyBorder="1" applyAlignment="1" applyProtection="1">
      <alignment horizontal="right" vertical="center"/>
    </xf>
    <xf numFmtId="44" fontId="3" fillId="4" borderId="3" xfId="2" applyNumberFormat="1" applyFont="1" applyFill="1" applyBorder="1" applyAlignment="1" applyProtection="1">
      <alignment horizontal="right" vertical="center"/>
    </xf>
    <xf numFmtId="44" fontId="3" fillId="3" borderId="4" xfId="2" applyFont="1" applyFill="1" applyBorder="1" applyAlignment="1" applyProtection="1">
      <alignment horizontal="right" vertical="center"/>
    </xf>
    <xf numFmtId="8" fontId="5" fillId="0" borderId="5" xfId="0" applyNumberFormat="1" applyFont="1" applyBorder="1" applyAlignment="1" applyProtection="1">
      <alignment horizontal="left" vertical="center"/>
    </xf>
    <xf numFmtId="44" fontId="3" fillId="7" borderId="3" xfId="2" applyFont="1" applyFill="1" applyBorder="1" applyAlignment="1" applyProtection="1">
      <alignment horizontal="right" vertical="center"/>
    </xf>
    <xf numFmtId="0" fontId="4" fillId="12" borderId="3" xfId="2" applyNumberFormat="1" applyFont="1" applyFill="1" applyBorder="1" applyAlignment="1" applyProtection="1">
      <alignment horizontal="center"/>
      <protection locked="0"/>
    </xf>
    <xf numFmtId="1" fontId="5" fillId="2" borderId="3" xfId="1" applyNumberFormat="1" applyFont="1" applyFill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 applyProtection="1">
      <alignment horizontal="center" vertical="center"/>
    </xf>
    <xf numFmtId="8" fontId="0" fillId="15" borderId="12" xfId="0" applyNumberFormat="1" applyFill="1" applyBorder="1" applyAlignment="1" applyProtection="1">
      <alignment horizontal="center" vertical="center" wrapText="1"/>
      <protection locked="0"/>
    </xf>
    <xf numFmtId="8" fontId="14" fillId="15" borderId="24" xfId="0" applyNumberFormat="1" applyFont="1" applyFill="1" applyBorder="1" applyAlignment="1" applyProtection="1">
      <alignment horizontal="center" vertical="center" wrapText="1"/>
      <protection locked="0"/>
    </xf>
    <xf numFmtId="8" fontId="10" fillId="7" borderId="7" xfId="0" applyNumberFormat="1" applyFont="1" applyFill="1" applyBorder="1" applyAlignment="1" applyProtection="1">
      <alignment horizontal="center" wrapText="1"/>
    </xf>
    <xf numFmtId="8" fontId="5" fillId="0" borderId="5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7" fontId="0" fillId="7" borderId="9" xfId="2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8" fontId="5" fillId="0" borderId="5" xfId="0" applyNumberFormat="1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4" fontId="5" fillId="0" borderId="43" xfId="2" applyFont="1" applyBorder="1" applyAlignment="1">
      <alignment horizontal="center" vertical="center" wrapText="1"/>
    </xf>
    <xf numFmtId="172" fontId="5" fillId="0" borderId="53" xfId="0" applyNumberFormat="1" applyFont="1" applyBorder="1" applyAlignment="1">
      <alignment horizontal="center" vertical="center" wrapText="1"/>
    </xf>
    <xf numFmtId="174" fontId="3" fillId="7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3" xfId="0" applyBorder="1" applyAlignment="1" applyProtection="1">
      <alignment horizontal="center" vertical="center" wrapText="1"/>
    </xf>
    <xf numFmtId="8" fontId="0" fillId="15" borderId="3" xfId="0" applyNumberFormat="1" applyFill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8" fontId="0" fillId="15" borderId="40" xfId="0" applyNumberFormat="1" applyFill="1" applyBorder="1" applyAlignment="1" applyProtection="1">
      <alignment horizontal="center" vertical="center" wrapText="1"/>
      <protection locked="0"/>
    </xf>
    <xf numFmtId="8" fontId="0" fillId="0" borderId="41" xfId="0" applyNumberFormat="1" applyBorder="1" applyAlignment="1" applyProtection="1">
      <alignment horizontal="center" vertical="center" wrapText="1"/>
    </xf>
    <xf numFmtId="0" fontId="0" fillId="2" borderId="0" xfId="0" applyFill="1"/>
    <xf numFmtId="0" fontId="24" fillId="2" borderId="0" xfId="0" applyFont="1" applyFill="1" applyAlignment="1">
      <alignment wrapTex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justify" vertical="center" wrapText="1"/>
    </xf>
    <xf numFmtId="1" fontId="24" fillId="19" borderId="3" xfId="0" applyNumberFormat="1" applyFont="1" applyFill="1" applyBorder="1" applyAlignment="1">
      <alignment horizontal="center" vertical="center" wrapText="1"/>
    </xf>
    <xf numFmtId="1" fontId="24" fillId="19" borderId="2" xfId="0" applyNumberFormat="1" applyFont="1" applyFill="1" applyBorder="1" applyAlignment="1">
      <alignment horizontal="center" vertical="center" wrapText="1"/>
    </xf>
    <xf numFmtId="44" fontId="24" fillId="19" borderId="43" xfId="0" applyNumberFormat="1" applyFont="1" applyFill="1" applyBorder="1" applyAlignment="1">
      <alignment wrapText="1"/>
    </xf>
    <xf numFmtId="1" fontId="0" fillId="0" borderId="3" xfId="0" applyNumberFormat="1" applyBorder="1" applyAlignment="1" applyProtection="1">
      <alignment horizontal="center" vertical="center" wrapText="1"/>
    </xf>
    <xf numFmtId="8" fontId="0" fillId="0" borderId="2" xfId="0" applyNumberFormat="1" applyBorder="1" applyAlignment="1" applyProtection="1">
      <alignment horizontal="center" vertical="center" wrapText="1"/>
    </xf>
    <xf numFmtId="0" fontId="23" fillId="0" borderId="0" xfId="0" applyFont="1"/>
    <xf numFmtId="0" fontId="0" fillId="0" borderId="43" xfId="0" applyFont="1" applyBorder="1" applyAlignment="1" applyProtection="1">
      <alignment horizontal="center" vertical="center" wrapText="1"/>
    </xf>
    <xf numFmtId="167" fontId="1" fillId="2" borderId="1" xfId="2" applyNumberFormat="1" applyFont="1" applyFill="1" applyBorder="1" applyAlignment="1" applyProtection="1">
      <alignment horizontal="center" vertical="center" wrapText="1"/>
    </xf>
    <xf numFmtId="173" fontId="0" fillId="0" borderId="0" xfId="0" applyNumberFormat="1"/>
    <xf numFmtId="0" fontId="30" fillId="0" borderId="40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7" fontId="24" fillId="19" borderId="39" xfId="0" applyNumberFormat="1" applyFont="1" applyFill="1" applyBorder="1" applyAlignment="1">
      <alignment wrapText="1"/>
    </xf>
    <xf numFmtId="167" fontId="30" fillId="0" borderId="6" xfId="0" applyNumberFormat="1" applyFont="1" applyBorder="1" applyAlignment="1">
      <alignment horizontal="center" vertical="center" wrapText="1"/>
    </xf>
    <xf numFmtId="167" fontId="1" fillId="15" borderId="43" xfId="2" applyNumberFormat="1" applyFont="1" applyFill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8" fontId="0" fillId="0" borderId="0" xfId="0" applyNumberFormat="1"/>
    <xf numFmtId="0" fontId="24" fillId="2" borderId="64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44" fontId="24" fillId="19" borderId="62" xfId="0" applyNumberFormat="1" applyFont="1" applyFill="1" applyBorder="1" applyAlignment="1">
      <alignment wrapText="1"/>
    </xf>
    <xf numFmtId="0" fontId="25" fillId="8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1" fontId="25" fillId="8" borderId="3" xfId="6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7" fontId="26" fillId="8" borderId="3" xfId="6" applyNumberFormat="1" applyFont="1" applyFill="1" applyBorder="1" applyAlignment="1">
      <alignment horizontal="center" vertical="center" wrapText="1"/>
    </xf>
    <xf numFmtId="167" fontId="25" fillId="8" borderId="3" xfId="6" applyNumberFormat="1" applyFont="1" applyFill="1" applyBorder="1" applyAlignment="1">
      <alignment horizontal="center" vertical="center" wrapText="1"/>
    </xf>
    <xf numFmtId="167" fontId="26" fillId="2" borderId="3" xfId="6" applyNumberFormat="1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 wrapText="1"/>
    </xf>
    <xf numFmtId="167" fontId="26" fillId="8" borderId="4" xfId="6" applyNumberFormat="1" applyFont="1" applyFill="1" applyBorder="1" applyAlignment="1">
      <alignment horizontal="center" vertical="center" wrapText="1"/>
    </xf>
    <xf numFmtId="167" fontId="26" fillId="2" borderId="4" xfId="6" applyNumberFormat="1" applyFont="1" applyFill="1" applyBorder="1" applyAlignment="1">
      <alignment horizontal="center" vertical="center" wrapText="1"/>
    </xf>
    <xf numFmtId="0" fontId="24" fillId="19" borderId="62" xfId="0" applyNumberFormat="1" applyFont="1" applyFill="1" applyBorder="1" applyAlignment="1">
      <alignment horizontal="center" vertical="center" wrapText="1"/>
    </xf>
    <xf numFmtId="0" fontId="24" fillId="19" borderId="3" xfId="0" applyNumberFormat="1" applyFont="1" applyFill="1" applyBorder="1" applyAlignment="1">
      <alignment horizontal="center" vertical="center" wrapText="1"/>
    </xf>
    <xf numFmtId="0" fontId="0" fillId="0" borderId="39" xfId="0" applyBorder="1"/>
    <xf numFmtId="0" fontId="24" fillId="19" borderId="40" xfId="0" applyFont="1" applyFill="1" applyBorder="1" applyAlignment="1">
      <alignment horizontal="center" vertical="center" wrapText="1"/>
    </xf>
    <xf numFmtId="0" fontId="21" fillId="19" borderId="40" xfId="0" applyFont="1" applyFill="1" applyBorder="1" applyAlignment="1">
      <alignment horizontal="center" vertical="center" wrapText="1"/>
    </xf>
    <xf numFmtId="0" fontId="24" fillId="19" borderId="41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 wrapText="1"/>
    </xf>
    <xf numFmtId="0" fontId="24" fillId="19" borderId="43" xfId="0" applyNumberFormat="1" applyFont="1" applyFill="1" applyBorder="1" applyAlignment="1">
      <alignment horizontal="center" vertical="center" wrapText="1"/>
    </xf>
    <xf numFmtId="167" fontId="24" fillId="19" borderId="3" xfId="0" applyNumberFormat="1" applyFont="1" applyFill="1" applyBorder="1" applyAlignment="1">
      <alignment horizontal="center" vertical="center" wrapText="1"/>
    </xf>
    <xf numFmtId="167" fontId="24" fillId="19" borderId="43" xfId="0" applyNumberFormat="1" applyFont="1" applyFill="1" applyBorder="1" applyAlignment="1">
      <alignment horizontal="center" vertical="center" wrapText="1"/>
    </xf>
    <xf numFmtId="167" fontId="24" fillId="19" borderId="2" xfId="0" applyNumberFormat="1" applyFont="1" applyFill="1" applyBorder="1" applyAlignment="1">
      <alignment wrapText="1"/>
    </xf>
    <xf numFmtId="167" fontId="24" fillId="19" borderId="1" xfId="0" applyNumberFormat="1" applyFont="1" applyFill="1" applyBorder="1" applyAlignment="1">
      <alignment wrapText="1"/>
    </xf>
    <xf numFmtId="167" fontId="30" fillId="0" borderId="43" xfId="0" applyNumberFormat="1" applyFont="1" applyBorder="1" applyAlignment="1">
      <alignment horizontal="center" vertical="center" wrapText="1"/>
    </xf>
    <xf numFmtId="167" fontId="30" fillId="0" borderId="57" xfId="0" applyNumberFormat="1" applyFont="1" applyBorder="1" applyAlignment="1">
      <alignment horizontal="center" vertical="center" wrapText="1"/>
    </xf>
    <xf numFmtId="167" fontId="30" fillId="0" borderId="40" xfId="0" applyNumberFormat="1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right" vertical="center" wrapText="1" indent="1"/>
    </xf>
    <xf numFmtId="0" fontId="30" fillId="0" borderId="57" xfId="0" applyFont="1" applyBorder="1" applyAlignment="1">
      <alignment horizontal="right" vertical="center" wrapText="1" indent="1"/>
    </xf>
    <xf numFmtId="0" fontId="32" fillId="0" borderId="40" xfId="0" applyFont="1" applyBorder="1" applyAlignment="1">
      <alignment horizontal="center" vertical="center" wrapText="1"/>
    </xf>
    <xf numFmtId="0" fontId="32" fillId="20" borderId="40" xfId="0" applyFont="1" applyFill="1" applyBorder="1" applyAlignment="1">
      <alignment horizontal="center" vertical="center" wrapText="1"/>
    </xf>
    <xf numFmtId="0" fontId="32" fillId="20" borderId="57" xfId="0" applyFont="1" applyFill="1" applyBorder="1" applyAlignment="1">
      <alignment horizontal="center" vertical="center" wrapText="1"/>
    </xf>
    <xf numFmtId="0" fontId="23" fillId="20" borderId="57" xfId="0" applyFont="1" applyFill="1" applyBorder="1" applyAlignment="1">
      <alignment horizontal="right" indent="1"/>
    </xf>
    <xf numFmtId="0" fontId="32" fillId="0" borderId="57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167" fontId="25" fillId="2" borderId="4" xfId="6" applyNumberFormat="1" applyFont="1" applyFill="1" applyBorder="1" applyAlignment="1">
      <alignment horizontal="center" vertical="center" wrapText="1"/>
    </xf>
    <xf numFmtId="167" fontId="25" fillId="2" borderId="3" xfId="6" applyNumberFormat="1" applyFont="1" applyFill="1" applyBorder="1" applyAlignment="1">
      <alignment horizontal="center" vertical="center" wrapText="1"/>
    </xf>
    <xf numFmtId="167" fontId="26" fillId="8" borderId="11" xfId="6" applyNumberFormat="1" applyFont="1" applyFill="1" applyBorder="1" applyAlignment="1">
      <alignment horizontal="center" vertical="center" wrapText="1"/>
    </xf>
    <xf numFmtId="167" fontId="26" fillId="8" borderId="43" xfId="6" applyNumberFormat="1" applyFont="1" applyFill="1" applyBorder="1" applyAlignment="1">
      <alignment horizontal="center" vertical="center" wrapText="1"/>
    </xf>
    <xf numFmtId="167" fontId="24" fillId="19" borderId="62" xfId="0" applyNumberFormat="1" applyFont="1" applyFill="1" applyBorder="1" applyAlignment="1">
      <alignment wrapText="1"/>
    </xf>
    <xf numFmtId="167" fontId="24" fillId="19" borderId="43" xfId="0" applyNumberFormat="1" applyFont="1" applyFill="1" applyBorder="1" applyAlignment="1">
      <alignment wrapText="1"/>
    </xf>
    <xf numFmtId="0" fontId="23" fillId="20" borderId="40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 wrapText="1"/>
    </xf>
    <xf numFmtId="0" fontId="46" fillId="2" borderId="25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center" vertical="center"/>
    </xf>
    <xf numFmtId="8" fontId="5" fillId="0" borderId="5" xfId="0" applyNumberFormat="1" applyFont="1" applyBorder="1" applyAlignment="1" applyProtection="1">
      <alignment horizontal="center" vertical="center"/>
    </xf>
    <xf numFmtId="0" fontId="16" fillId="9" borderId="44" xfId="0" applyFont="1" applyFill="1" applyBorder="1" applyAlignment="1">
      <alignment horizontal="center" vertical="center" wrapText="1"/>
    </xf>
    <xf numFmtId="0" fontId="16" fillId="9" borderId="27" xfId="0" applyFont="1" applyFill="1" applyBorder="1" applyAlignment="1">
      <alignment horizontal="center" vertical="center" wrapText="1"/>
    </xf>
    <xf numFmtId="167" fontId="13" fillId="9" borderId="38" xfId="0" applyNumberFormat="1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vertical="center" wrapText="1"/>
    </xf>
    <xf numFmtId="173" fontId="13" fillId="2" borderId="40" xfId="0" applyNumberFormat="1" applyFont="1" applyFill="1" applyBorder="1" applyAlignment="1">
      <alignment horizontal="center" vertical="center" wrapText="1"/>
    </xf>
    <xf numFmtId="2" fontId="13" fillId="2" borderId="40" xfId="0" applyNumberFormat="1" applyFont="1" applyFill="1" applyBorder="1" applyAlignment="1">
      <alignment horizontal="center" vertical="center" wrapText="1"/>
    </xf>
    <xf numFmtId="49" fontId="13" fillId="2" borderId="40" xfId="0" applyNumberFormat="1" applyFont="1" applyFill="1" applyBorder="1" applyAlignment="1">
      <alignment horizontal="center" vertical="center" wrapText="1"/>
    </xf>
    <xf numFmtId="167" fontId="13" fillId="2" borderId="40" xfId="0" applyNumberFormat="1" applyFont="1" applyFill="1" applyBorder="1" applyAlignment="1">
      <alignment horizontal="center" vertical="center" wrapText="1"/>
    </xf>
    <xf numFmtId="167" fontId="13" fillId="2" borderId="41" xfId="0" applyNumberFormat="1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2" fontId="13" fillId="2" borderId="43" xfId="0" applyNumberFormat="1" applyFont="1" applyFill="1" applyBorder="1" applyAlignment="1">
      <alignment horizontal="center" vertical="center" wrapText="1"/>
    </xf>
    <xf numFmtId="49" fontId="13" fillId="2" borderId="43" xfId="0" applyNumberFormat="1" applyFont="1" applyFill="1" applyBorder="1" applyAlignment="1">
      <alignment horizontal="center" vertical="center" wrapText="1"/>
    </xf>
    <xf numFmtId="167" fontId="13" fillId="2" borderId="43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173" fontId="13" fillId="2" borderId="43" xfId="0" applyNumberFormat="1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vertical="center" wrapText="1"/>
    </xf>
    <xf numFmtId="173" fontId="13" fillId="2" borderId="72" xfId="0" applyNumberFormat="1" applyFont="1" applyFill="1" applyBorder="1" applyAlignment="1">
      <alignment horizontal="center" vertical="center" wrapText="1"/>
    </xf>
    <xf numFmtId="2" fontId="13" fillId="2" borderId="72" xfId="0" applyNumberFormat="1" applyFont="1" applyFill="1" applyBorder="1" applyAlignment="1">
      <alignment horizontal="center" vertical="center" wrapText="1"/>
    </xf>
    <xf numFmtId="49" fontId="13" fillId="2" borderId="72" xfId="0" applyNumberFormat="1" applyFont="1" applyFill="1" applyBorder="1" applyAlignment="1">
      <alignment horizontal="center" vertical="center" wrapText="1"/>
    </xf>
    <xf numFmtId="167" fontId="13" fillId="2" borderId="72" xfId="0" applyNumberFormat="1" applyFont="1" applyFill="1" applyBorder="1" applyAlignment="1">
      <alignment horizontal="center" vertical="center" wrapText="1"/>
    </xf>
    <xf numFmtId="1" fontId="13" fillId="2" borderId="72" xfId="0" applyNumberFormat="1" applyFont="1" applyFill="1" applyBorder="1" applyAlignment="1">
      <alignment horizontal="center" vertical="center" wrapText="1"/>
    </xf>
    <xf numFmtId="167" fontId="13" fillId="2" borderId="76" xfId="0" applyNumberFormat="1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 wrapText="1"/>
    </xf>
    <xf numFmtId="167" fontId="13" fillId="12" borderId="78" xfId="0" applyNumberFormat="1" applyFont="1" applyFill="1" applyBorder="1" applyAlignment="1">
      <alignment horizontal="center" vertical="center" wrapText="1"/>
    </xf>
    <xf numFmtId="2" fontId="13" fillId="2" borderId="78" xfId="0" applyNumberFormat="1" applyFont="1" applyFill="1" applyBorder="1" applyAlignment="1">
      <alignment horizontal="center" vertical="center" wrapText="1"/>
    </xf>
    <xf numFmtId="49" fontId="13" fillId="2" borderId="78" xfId="0" applyNumberFormat="1" applyFont="1" applyFill="1" applyBorder="1" applyAlignment="1">
      <alignment horizontal="center" vertical="center" wrapText="1"/>
    </xf>
    <xf numFmtId="167" fontId="13" fillId="2" borderId="78" xfId="0" applyNumberFormat="1" applyFont="1" applyFill="1" applyBorder="1" applyAlignment="1">
      <alignment horizontal="center" vertical="center" wrapText="1"/>
    </xf>
    <xf numFmtId="1" fontId="13" fillId="2" borderId="78" xfId="0" applyNumberFormat="1" applyFont="1" applyFill="1" applyBorder="1" applyAlignment="1">
      <alignment horizontal="center" vertical="center" wrapText="1"/>
    </xf>
    <xf numFmtId="167" fontId="13" fillId="2" borderId="79" xfId="0" applyNumberFormat="1" applyFont="1" applyFill="1" applyBorder="1" applyAlignment="1">
      <alignment horizontal="center" vertical="center" wrapText="1"/>
    </xf>
    <xf numFmtId="0" fontId="13" fillId="2" borderId="80" xfId="0" applyFont="1" applyFill="1" applyBorder="1" applyAlignment="1">
      <alignment horizontal="center" vertical="center" wrapText="1"/>
    </xf>
    <xf numFmtId="173" fontId="13" fillId="2" borderId="81" xfId="0" applyNumberFormat="1" applyFont="1" applyFill="1" applyBorder="1" applyAlignment="1">
      <alignment horizontal="center" vertical="center" wrapText="1"/>
    </xf>
    <xf numFmtId="2" fontId="13" fillId="2" borderId="81" xfId="0" applyNumberFormat="1" applyFont="1" applyFill="1" applyBorder="1" applyAlignment="1">
      <alignment horizontal="center" vertical="center" wrapText="1"/>
    </xf>
    <xf numFmtId="49" fontId="13" fillId="2" borderId="81" xfId="0" applyNumberFormat="1" applyFont="1" applyFill="1" applyBorder="1" applyAlignment="1">
      <alignment horizontal="center" vertical="center" wrapText="1"/>
    </xf>
    <xf numFmtId="167" fontId="13" fillId="2" borderId="81" xfId="0" applyNumberFormat="1" applyFont="1" applyFill="1" applyBorder="1" applyAlignment="1">
      <alignment horizontal="center" vertical="center" wrapText="1"/>
    </xf>
    <xf numFmtId="1" fontId="13" fillId="2" borderId="81" xfId="0" applyNumberFormat="1" applyFont="1" applyFill="1" applyBorder="1" applyAlignment="1">
      <alignment horizontal="center" vertical="center" wrapText="1"/>
    </xf>
    <xf numFmtId="167" fontId="13" fillId="2" borderId="82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1" fontId="13" fillId="2" borderId="55" xfId="0" applyNumberFormat="1" applyFont="1" applyFill="1" applyBorder="1" applyAlignment="1">
      <alignment horizontal="center" vertical="center" wrapText="1"/>
    </xf>
    <xf numFmtId="1" fontId="13" fillId="2" borderId="78" xfId="0" applyNumberFormat="1" applyFont="1" applyFill="1" applyBorder="1" applyAlignment="1">
      <alignment horizontal="center" vertical="center" wrapText="1"/>
    </xf>
    <xf numFmtId="0" fontId="11" fillId="10" borderId="27" xfId="0" applyFont="1" applyFill="1" applyBorder="1" applyAlignment="1" applyProtection="1">
      <alignment horizontal="center" vertical="center"/>
    </xf>
    <xf numFmtId="0" fontId="11" fillId="10" borderId="28" xfId="0" applyFont="1" applyFill="1" applyBorder="1" applyAlignment="1" applyProtection="1">
      <alignment horizontal="center" vertical="center"/>
    </xf>
    <xf numFmtId="0" fontId="11" fillId="10" borderId="29" xfId="0" applyFont="1" applyFill="1" applyBorder="1" applyAlignment="1" applyProtection="1">
      <alignment horizontal="center" vertical="center"/>
    </xf>
    <xf numFmtId="0" fontId="12" fillId="6" borderId="18" xfId="0" applyFont="1" applyFill="1" applyBorder="1" applyAlignment="1" applyProtection="1">
      <alignment horizontal="center" vertical="center"/>
    </xf>
    <xf numFmtId="0" fontId="12" fillId="6" borderId="19" xfId="0" applyFont="1" applyFill="1" applyBorder="1" applyAlignment="1" applyProtection="1">
      <alignment horizontal="center" vertical="center"/>
    </xf>
    <xf numFmtId="0" fontId="12" fillId="6" borderId="20" xfId="0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</xf>
    <xf numFmtId="0" fontId="24" fillId="8" borderId="65" xfId="0" applyFont="1" applyFill="1" applyBorder="1" applyAlignment="1">
      <alignment horizontal="center" vertical="center" wrapText="1"/>
    </xf>
    <xf numFmtId="0" fontId="25" fillId="8" borderId="65" xfId="0" applyFont="1" applyFill="1" applyBorder="1" applyAlignment="1">
      <alignment horizontal="left" vertical="center" wrapText="1"/>
    </xf>
    <xf numFmtId="0" fontId="24" fillId="8" borderId="65" xfId="0" applyFont="1" applyFill="1" applyBorder="1" applyAlignment="1">
      <alignment horizontal="left" vertical="center" wrapText="1"/>
    </xf>
    <xf numFmtId="0" fontId="25" fillId="8" borderId="60" xfId="0" applyFont="1" applyFill="1" applyBorder="1" applyAlignment="1">
      <alignment horizontal="center" vertical="center" wrapText="1"/>
    </xf>
    <xf numFmtId="0" fontId="25" fillId="8" borderId="68" xfId="0" applyFont="1" applyFill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167" fontId="25" fillId="18" borderId="68" xfId="2" applyNumberFormat="1" applyFont="1" applyFill="1" applyBorder="1" applyAlignment="1" applyProtection="1">
      <alignment horizontal="center" vertical="center" wrapText="1"/>
      <protection locked="0"/>
    </xf>
    <xf numFmtId="0" fontId="24" fillId="2" borderId="65" xfId="0" applyFont="1" applyFill="1" applyBorder="1" applyAlignment="1">
      <alignment horizontal="center" vertical="center" wrapText="1"/>
    </xf>
    <xf numFmtId="0" fontId="26" fillId="2" borderId="65" xfId="0" applyFont="1" applyFill="1" applyBorder="1" applyAlignment="1">
      <alignment horizontal="left" vertical="center" wrapText="1"/>
    </xf>
    <xf numFmtId="0" fontId="25" fillId="2" borderId="65" xfId="0" applyFont="1" applyFill="1" applyBorder="1" applyAlignment="1">
      <alignment horizontal="left" vertical="center" wrapText="1"/>
    </xf>
    <xf numFmtId="0" fontId="24" fillId="2" borderId="65" xfId="0" applyFont="1" applyFill="1" applyBorder="1" applyAlignment="1">
      <alignment horizontal="left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68" xfId="0" applyFont="1" applyFill="1" applyBorder="1" applyAlignment="1">
      <alignment horizontal="center" vertical="center" wrapText="1"/>
    </xf>
    <xf numFmtId="0" fontId="24" fillId="2" borderId="68" xfId="0" applyFont="1" applyFill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6" fillId="2" borderId="60" xfId="0" applyFont="1" applyFill="1" applyBorder="1" applyAlignment="1">
      <alignment horizontal="center" vertical="center" wrapText="1"/>
    </xf>
    <xf numFmtId="0" fontId="26" fillId="2" borderId="68" xfId="0" applyFont="1" applyFill="1" applyBorder="1" applyAlignment="1">
      <alignment horizontal="center" vertical="center" wrapText="1"/>
    </xf>
    <xf numFmtId="0" fontId="26" fillId="8" borderId="65" xfId="0" applyFont="1" applyFill="1" applyBorder="1" applyAlignment="1">
      <alignment horizontal="left" vertical="center" wrapText="1"/>
    </xf>
    <xf numFmtId="0" fontId="26" fillId="8" borderId="60" xfId="0" applyFont="1" applyFill="1" applyBorder="1" applyAlignment="1">
      <alignment horizontal="center" vertical="center" wrapText="1"/>
    </xf>
    <xf numFmtId="0" fontId="26" fillId="8" borderId="68" xfId="0" applyFont="1" applyFill="1" applyBorder="1" applyAlignment="1">
      <alignment horizontal="center" vertical="center" wrapText="1"/>
    </xf>
    <xf numFmtId="0" fontId="24" fillId="8" borderId="66" xfId="0" applyFont="1" applyFill="1" applyBorder="1" applyAlignment="1">
      <alignment horizontal="center" vertical="center" wrapText="1"/>
    </xf>
    <xf numFmtId="0" fontId="26" fillId="8" borderId="66" xfId="0" applyFont="1" applyFill="1" applyBorder="1" applyAlignment="1">
      <alignment horizontal="left" vertical="center" wrapText="1"/>
    </xf>
    <xf numFmtId="0" fontId="26" fillId="8" borderId="61" xfId="0" applyFont="1" applyFill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167" fontId="25" fillId="18" borderId="69" xfId="2" applyNumberFormat="1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4" fillId="19" borderId="18" xfId="0" applyFont="1" applyFill="1" applyBorder="1" applyAlignment="1">
      <alignment horizontal="center" wrapText="1"/>
    </xf>
    <xf numFmtId="0" fontId="24" fillId="19" borderId="19" xfId="0" applyFont="1" applyFill="1" applyBorder="1" applyAlignment="1">
      <alignment horizontal="center" wrapText="1"/>
    </xf>
    <xf numFmtId="0" fontId="26" fillId="8" borderId="65" xfId="2" applyNumberFormat="1" applyFont="1" applyFill="1" applyBorder="1" applyAlignment="1">
      <alignment horizontal="left" vertical="center" wrapText="1"/>
    </xf>
    <xf numFmtId="0" fontId="24" fillId="8" borderId="68" xfId="0" applyFont="1" applyFill="1" applyBorder="1" applyAlignment="1">
      <alignment horizontal="center" vertical="center" wrapText="1"/>
    </xf>
    <xf numFmtId="0" fontId="24" fillId="19" borderId="21" xfId="0" applyFont="1" applyFill="1" applyBorder="1" applyAlignment="1">
      <alignment horizontal="center" wrapText="1"/>
    </xf>
    <xf numFmtId="0" fontId="24" fillId="19" borderId="22" xfId="0" applyFont="1" applyFill="1" applyBorder="1" applyAlignment="1">
      <alignment horizontal="center" wrapText="1"/>
    </xf>
    <xf numFmtId="0" fontId="21" fillId="19" borderId="18" xfId="0" applyFont="1" applyFill="1" applyBorder="1" applyAlignment="1">
      <alignment horizontal="center" wrapText="1"/>
    </xf>
    <xf numFmtId="0" fontId="21" fillId="19" borderId="19" xfId="0" applyFont="1" applyFill="1" applyBorder="1" applyAlignment="1">
      <alignment horizontal="center" wrapText="1"/>
    </xf>
    <xf numFmtId="0" fontId="26" fillId="2" borderId="65" xfId="0" applyFont="1" applyFill="1" applyBorder="1" applyAlignment="1">
      <alignment horizontal="center" vertical="center" wrapText="1"/>
    </xf>
    <xf numFmtId="0" fontId="26" fillId="2" borderId="70" xfId="0" applyFont="1" applyFill="1" applyBorder="1" applyAlignment="1">
      <alignment horizontal="left" vertical="center" wrapText="1"/>
    </xf>
    <xf numFmtId="0" fontId="26" fillId="2" borderId="71" xfId="0" applyFont="1" applyFill="1" applyBorder="1" applyAlignment="1">
      <alignment horizontal="left" vertical="center" wrapText="1"/>
    </xf>
    <xf numFmtId="0" fontId="26" fillId="8" borderId="65" xfId="0" applyFont="1" applyFill="1" applyBorder="1" applyAlignment="1">
      <alignment horizontal="center" vertical="center" wrapText="1"/>
    </xf>
    <xf numFmtId="44" fontId="4" fillId="17" borderId="3" xfId="0" applyNumberFormat="1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164" fontId="25" fillId="2" borderId="29" xfId="6" applyFont="1" applyFill="1" applyBorder="1" applyAlignment="1">
      <alignment horizontal="center" vertical="center" wrapText="1"/>
    </xf>
    <xf numFmtId="164" fontId="25" fillId="2" borderId="30" xfId="6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4" fillId="8" borderId="48" xfId="0" applyFont="1" applyFill="1" applyBorder="1" applyAlignment="1">
      <alignment horizontal="center" vertical="center" wrapText="1"/>
    </xf>
    <xf numFmtId="0" fontId="25" fillId="8" borderId="48" xfId="0" applyFont="1" applyFill="1" applyBorder="1" applyAlignment="1">
      <alignment horizontal="left" vertical="center" wrapText="1"/>
    </xf>
    <xf numFmtId="0" fontId="42" fillId="8" borderId="59" xfId="0" applyFont="1" applyFill="1" applyBorder="1" applyAlignment="1">
      <alignment horizontal="center" vertical="center" wrapText="1"/>
    </xf>
    <xf numFmtId="0" fontId="42" fillId="8" borderId="60" xfId="0" applyFont="1" applyFill="1" applyBorder="1" applyAlignment="1">
      <alignment horizontal="center" vertical="center" wrapText="1"/>
    </xf>
    <xf numFmtId="0" fontId="25" fillId="8" borderId="67" xfId="0" applyFont="1" applyFill="1" applyBorder="1" applyAlignment="1">
      <alignment horizontal="center" vertical="center" wrapText="1"/>
    </xf>
    <xf numFmtId="167" fontId="25" fillId="18" borderId="67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57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39" fillId="21" borderId="57" xfId="0" applyFont="1" applyFill="1" applyBorder="1" applyAlignment="1">
      <alignment horizontal="center" vertical="center" wrapText="1"/>
    </xf>
    <xf numFmtId="0" fontId="39" fillId="21" borderId="6" xfId="0" applyFont="1" applyFill="1" applyBorder="1" applyAlignment="1">
      <alignment horizontal="center" vertical="center" wrapText="1"/>
    </xf>
    <xf numFmtId="167" fontId="25" fillId="18" borderId="16" xfId="2" applyNumberFormat="1" applyFont="1" applyFill="1" applyBorder="1" applyAlignment="1" applyProtection="1">
      <alignment horizontal="center" vertical="center" wrapText="1"/>
      <protection locked="0"/>
    </xf>
    <xf numFmtId="167" fontId="25" fillId="18" borderId="13" xfId="2" applyNumberFormat="1" applyFont="1" applyFill="1" applyBorder="1" applyAlignment="1" applyProtection="1">
      <alignment horizontal="center" vertical="center" wrapText="1"/>
      <protection locked="0"/>
    </xf>
    <xf numFmtId="0" fontId="31" fillId="20" borderId="40" xfId="0" applyFont="1" applyFill="1" applyBorder="1" applyAlignment="1">
      <alignment vertical="center" wrapText="1"/>
    </xf>
    <xf numFmtId="0" fontId="31" fillId="20" borderId="43" xfId="0" applyFont="1" applyFill="1" applyBorder="1" applyAlignment="1">
      <alignment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29" fillId="2" borderId="63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vertical="center" wrapText="1"/>
    </xf>
    <xf numFmtId="0" fontId="29" fillId="2" borderId="6" xfId="0" applyFont="1" applyFill="1" applyBorder="1" applyAlignment="1">
      <alignment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vertical="center" wrapText="1"/>
    </xf>
    <xf numFmtId="0" fontId="29" fillId="2" borderId="43" xfId="0" applyFont="1" applyFill="1" applyBorder="1" applyAlignment="1">
      <alignment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57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39" fillId="0" borderId="40" xfId="0" applyFont="1" applyBorder="1" applyAlignment="1">
      <alignment vertical="center" wrapText="1"/>
    </xf>
    <xf numFmtId="0" fontId="39" fillId="0" borderId="43" xfId="0" applyFont="1" applyBorder="1" applyAlignment="1">
      <alignment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8" fillId="0" borderId="57" xfId="0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1" fillId="0" borderId="40" xfId="0" applyFont="1" applyBorder="1" applyAlignment="1">
      <alignment vertical="center" wrapText="1"/>
    </xf>
    <xf numFmtId="0" fontId="31" fillId="0" borderId="43" xfId="0" applyFont="1" applyBorder="1" applyAlignment="1">
      <alignment vertical="center" wrapText="1"/>
    </xf>
    <xf numFmtId="0" fontId="29" fillId="20" borderId="39" xfId="0" applyFont="1" applyFill="1" applyBorder="1" applyAlignment="1">
      <alignment horizontal="center" vertical="center" wrapText="1"/>
    </xf>
    <xf numFmtId="0" fontId="29" fillId="20" borderId="42" xfId="0" applyFont="1" applyFill="1" applyBorder="1" applyAlignment="1">
      <alignment horizontal="center" vertical="center" wrapText="1"/>
    </xf>
    <xf numFmtId="0" fontId="29" fillId="20" borderId="62" xfId="0" applyFont="1" applyFill="1" applyBorder="1" applyAlignment="1">
      <alignment horizontal="center" vertical="center" wrapText="1"/>
    </xf>
    <xf numFmtId="0" fontId="29" fillId="20" borderId="63" xfId="0" applyFont="1" applyFill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29" fillId="0" borderId="40" xfId="0" applyFont="1" applyBorder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31" fillId="0" borderId="57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43" xfId="0" applyFont="1" applyBorder="1" applyAlignment="1">
      <alignment horizontal="left" vertical="center" wrapText="1"/>
    </xf>
    <xf numFmtId="0" fontId="29" fillId="0" borderId="57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6" fillId="0" borderId="57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0" fillId="0" borderId="42" xfId="0" applyBorder="1" applyAlignment="1">
      <alignment horizontal="center" vertical="center" wrapText="1"/>
    </xf>
    <xf numFmtId="0" fontId="31" fillId="0" borderId="57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0" xfId="0" applyFont="1" applyBorder="1" applyAlignment="1">
      <alignment vertical="center" wrapText="1"/>
    </xf>
    <xf numFmtId="0" fontId="34" fillId="0" borderId="43" xfId="0" applyFont="1" applyBorder="1" applyAlignment="1">
      <alignment vertical="center" wrapText="1"/>
    </xf>
    <xf numFmtId="0" fontId="34" fillId="0" borderId="57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21" borderId="40" xfId="0" applyFont="1" applyFill="1" applyBorder="1" applyAlignment="1">
      <alignment horizontal="center" vertical="center" wrapText="1"/>
    </xf>
    <xf numFmtId="0" fontId="39" fillId="21" borderId="43" xfId="0" applyFont="1" applyFill="1" applyBorder="1" applyAlignment="1">
      <alignment horizontal="center" vertical="center" wrapText="1"/>
    </xf>
    <xf numFmtId="0" fontId="39" fillId="2" borderId="57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167" fontId="25" fillId="18" borderId="73" xfId="2" applyNumberFormat="1" applyFont="1" applyFill="1" applyBorder="1" applyAlignment="1" applyProtection="1">
      <alignment horizontal="center" vertical="center" wrapText="1"/>
      <protection locked="0"/>
    </xf>
    <xf numFmtId="167" fontId="25" fillId="18" borderId="74" xfId="2" applyNumberFormat="1" applyFont="1" applyFill="1" applyBorder="1" applyAlignment="1" applyProtection="1">
      <alignment horizontal="center" vertical="center" wrapText="1"/>
      <protection locked="0"/>
    </xf>
    <xf numFmtId="0" fontId="45" fillId="0" borderId="40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167" fontId="26" fillId="18" borderId="75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20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left" vertical="center" wrapText="1"/>
    </xf>
    <xf numFmtId="0" fontId="39" fillId="0" borderId="57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" fillId="16" borderId="49" xfId="0" applyFont="1" applyFill="1" applyBorder="1" applyAlignment="1">
      <alignment horizontal="center" vertical="center" wrapText="1"/>
    </xf>
    <xf numFmtId="0" fontId="3" fillId="16" borderId="50" xfId="0" applyFont="1" applyFill="1" applyBorder="1" applyAlignment="1">
      <alignment horizontal="center" vertical="center" wrapText="1"/>
    </xf>
    <xf numFmtId="0" fontId="3" fillId="16" borderId="51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12" borderId="5" xfId="0" applyFont="1" applyFill="1" applyBorder="1" applyAlignment="1" applyProtection="1">
      <alignment horizontal="left" vertical="justify"/>
      <protection locked="0"/>
    </xf>
    <xf numFmtId="0" fontId="4" fillId="12" borderId="4" xfId="0" applyFont="1" applyFill="1" applyBorder="1" applyAlignment="1" applyProtection="1">
      <alignment horizontal="left" vertical="justify"/>
      <protection locked="0"/>
    </xf>
    <xf numFmtId="0" fontId="5" fillId="0" borderId="3" xfId="0" applyFont="1" applyBorder="1" applyAlignment="1" applyProtection="1">
      <alignment horizontal="center" vertical="center"/>
    </xf>
    <xf numFmtId="14" fontId="8" fillId="12" borderId="5" xfId="0" applyNumberFormat="1" applyFont="1" applyFill="1" applyBorder="1" applyAlignment="1" applyProtection="1">
      <alignment horizontal="center" vertical="center"/>
      <protection locked="0"/>
    </xf>
    <xf numFmtId="0" fontId="8" fillId="12" borderId="4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</xf>
    <xf numFmtId="0" fontId="5" fillId="12" borderId="5" xfId="0" applyFont="1" applyFill="1" applyBorder="1" applyAlignment="1" applyProtection="1">
      <alignment horizontal="center" vertical="center" wrapText="1"/>
      <protection locked="0"/>
    </xf>
    <xf numFmtId="0" fontId="5" fillId="12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8" fontId="3" fillId="4" borderId="5" xfId="0" applyNumberFormat="1" applyFont="1" applyFill="1" applyBorder="1" applyAlignment="1" applyProtection="1">
      <alignment horizontal="left" vertical="center"/>
    </xf>
    <xf numFmtId="8" fontId="3" fillId="4" borderId="4" xfId="0" applyNumberFormat="1" applyFont="1" applyFill="1" applyBorder="1" applyAlignment="1" applyProtection="1">
      <alignment horizontal="left" vertical="center"/>
    </xf>
    <xf numFmtId="8" fontId="3" fillId="0" borderId="5" xfId="0" applyNumberFormat="1" applyFont="1" applyBorder="1" applyAlignment="1" applyProtection="1">
      <alignment horizontal="center" vertical="center"/>
    </xf>
    <xf numFmtId="8" fontId="3" fillId="0" borderId="8" xfId="0" applyNumberFormat="1" applyFont="1" applyBorder="1" applyAlignment="1" applyProtection="1">
      <alignment horizontal="center" vertical="center"/>
    </xf>
    <xf numFmtId="8" fontId="3" fillId="0" borderId="4" xfId="0" applyNumberFormat="1" applyFont="1" applyBorder="1" applyAlignment="1" applyProtection="1">
      <alignment horizontal="center" vertical="center"/>
    </xf>
    <xf numFmtId="8" fontId="3" fillId="6" borderId="5" xfId="0" applyNumberFormat="1" applyFont="1" applyFill="1" applyBorder="1" applyAlignment="1" applyProtection="1">
      <alignment horizontal="left" vertical="center"/>
    </xf>
    <xf numFmtId="8" fontId="3" fillId="6" borderId="8" xfId="0" applyNumberFormat="1" applyFont="1" applyFill="1" applyBorder="1" applyAlignment="1" applyProtection="1">
      <alignment horizontal="left" vertical="center"/>
    </xf>
    <xf numFmtId="8" fontId="3" fillId="6" borderId="4" xfId="0" applyNumberFormat="1" applyFont="1" applyFill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left" vertical="center"/>
    </xf>
    <xf numFmtId="0" fontId="3" fillId="4" borderId="8" xfId="0" applyFont="1" applyFill="1" applyBorder="1" applyAlignment="1" applyProtection="1">
      <alignment horizontal="left" vertical="center"/>
    </xf>
    <xf numFmtId="8" fontId="3" fillId="0" borderId="3" xfId="0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4" fillId="12" borderId="5" xfId="0" applyFont="1" applyFill="1" applyBorder="1" applyAlignment="1" applyProtection="1">
      <alignment horizontal="center" vertical="center"/>
      <protection locked="0"/>
    </xf>
    <xf numFmtId="0" fontId="4" fillId="12" borderId="4" xfId="0" applyFont="1" applyFill="1" applyBorder="1" applyAlignment="1" applyProtection="1">
      <alignment horizontal="center" vertical="center"/>
      <protection locked="0"/>
    </xf>
    <xf numFmtId="2" fontId="4" fillId="0" borderId="5" xfId="1" applyNumberFormat="1" applyFont="1" applyBorder="1" applyAlignment="1" applyProtection="1">
      <alignment horizontal="center" vertical="center"/>
    </xf>
    <xf numFmtId="2" fontId="4" fillId="0" borderId="4" xfId="1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8" fontId="15" fillId="6" borderId="5" xfId="0" applyNumberFormat="1" applyFont="1" applyFill="1" applyBorder="1" applyAlignment="1" applyProtection="1">
      <alignment horizontal="left" vertical="center"/>
    </xf>
    <xf numFmtId="8" fontId="15" fillId="6" borderId="8" xfId="0" applyNumberFormat="1" applyFont="1" applyFill="1" applyBorder="1" applyAlignment="1" applyProtection="1">
      <alignment horizontal="left" vertical="center"/>
    </xf>
    <xf numFmtId="8" fontId="15" fillId="6" borderId="4" xfId="0" applyNumberFormat="1" applyFont="1" applyFill="1" applyBorder="1" applyAlignment="1" applyProtection="1">
      <alignment horizontal="left" vertical="center"/>
    </xf>
    <xf numFmtId="8" fontId="3" fillId="0" borderId="5" xfId="0" applyNumberFormat="1" applyFont="1" applyBorder="1" applyAlignment="1" applyProtection="1">
      <alignment horizontal="left" vertical="center"/>
    </xf>
    <xf numFmtId="8" fontId="3" fillId="0" borderId="8" xfId="0" applyNumberFormat="1" applyFont="1" applyBorder="1" applyAlignment="1" applyProtection="1">
      <alignment horizontal="left" vertical="center"/>
    </xf>
    <xf numFmtId="8" fontId="3" fillId="0" borderId="4" xfId="0" applyNumberFormat="1" applyFont="1" applyBorder="1" applyAlignment="1" applyProtection="1">
      <alignment horizontal="left" vertical="center"/>
    </xf>
    <xf numFmtId="8" fontId="3" fillId="4" borderId="8" xfId="0" applyNumberFormat="1" applyFont="1" applyFill="1" applyBorder="1" applyAlignment="1" applyProtection="1">
      <alignment horizontal="left" vertical="center"/>
    </xf>
    <xf numFmtId="8" fontId="3" fillId="4" borderId="5" xfId="0" applyNumberFormat="1" applyFont="1" applyFill="1" applyBorder="1" applyAlignment="1" applyProtection="1">
      <alignment horizontal="center" vertical="center"/>
    </xf>
    <xf numFmtId="8" fontId="3" fillId="4" borderId="14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4" fillId="13" borderId="3" xfId="0" applyFont="1" applyFill="1" applyBorder="1" applyAlignment="1" applyProtection="1">
      <alignment horizontal="center" vertical="center"/>
    </xf>
    <xf numFmtId="8" fontId="3" fillId="4" borderId="4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8" fontId="5" fillId="2" borderId="13" xfId="0" applyNumberFormat="1" applyFont="1" applyFill="1" applyBorder="1" applyAlignment="1" applyProtection="1">
      <alignment horizontal="center" vertical="center" wrapText="1"/>
    </xf>
    <xf numFmtId="8" fontId="5" fillId="2" borderId="46" xfId="0" applyNumberFormat="1" applyFont="1" applyFill="1" applyBorder="1" applyAlignment="1" applyProtection="1">
      <alignment horizontal="center" vertical="center" wrapText="1"/>
    </xf>
    <xf numFmtId="8" fontId="5" fillId="2" borderId="16" xfId="0" applyNumberFormat="1" applyFont="1" applyFill="1" applyBorder="1" applyAlignment="1" applyProtection="1">
      <alignment horizontal="center" vertical="center" wrapText="1"/>
    </xf>
    <xf numFmtId="8" fontId="3" fillId="8" borderId="5" xfId="0" applyNumberFormat="1" applyFont="1" applyFill="1" applyBorder="1" applyAlignment="1" applyProtection="1">
      <alignment horizontal="center" vertical="center"/>
    </xf>
    <xf numFmtId="8" fontId="3" fillId="8" borderId="4" xfId="0" applyNumberFormat="1" applyFont="1" applyFill="1" applyBorder="1" applyAlignment="1" applyProtection="1">
      <alignment horizontal="center" vertical="center"/>
    </xf>
    <xf numFmtId="8" fontId="3" fillId="2" borderId="8" xfId="0" applyNumberFormat="1" applyFont="1" applyFill="1" applyBorder="1" applyAlignment="1" applyProtection="1">
      <alignment horizontal="center" vertical="center"/>
    </xf>
    <xf numFmtId="8" fontId="3" fillId="2" borderId="4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8" fontId="5" fillId="0" borderId="5" xfId="0" applyNumberFormat="1" applyFont="1" applyBorder="1" applyAlignment="1" applyProtection="1">
      <alignment horizontal="center" vertical="center"/>
    </xf>
    <xf numFmtId="8" fontId="5" fillId="0" borderId="8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 wrapText="1"/>
    </xf>
    <xf numFmtId="8" fontId="5" fillId="0" borderId="4" xfId="0" applyNumberFormat="1" applyFont="1" applyBorder="1" applyAlignment="1" applyProtection="1">
      <alignment horizontal="center" vertical="center"/>
    </xf>
    <xf numFmtId="8" fontId="3" fillId="3" borderId="3" xfId="0" applyNumberFormat="1" applyFont="1" applyFill="1" applyBorder="1" applyAlignment="1" applyProtection="1">
      <alignment horizontal="left" vertical="center"/>
    </xf>
    <xf numFmtId="8" fontId="3" fillId="6" borderId="3" xfId="0" applyNumberFormat="1" applyFont="1" applyFill="1" applyBorder="1" applyAlignment="1" applyProtection="1">
      <alignment horizontal="left" vertical="center"/>
    </xf>
    <xf numFmtId="8" fontId="3" fillId="0" borderId="16" xfId="0" applyNumberFormat="1" applyFont="1" applyBorder="1" applyAlignment="1" applyProtection="1">
      <alignment horizontal="left" vertical="center"/>
    </xf>
    <xf numFmtId="8" fontId="3" fillId="0" borderId="10" xfId="0" applyNumberFormat="1" applyFont="1" applyBorder="1" applyAlignment="1" applyProtection="1">
      <alignment horizontal="left" vertical="center"/>
    </xf>
    <xf numFmtId="8" fontId="3" fillId="0" borderId="15" xfId="0" applyNumberFormat="1" applyFont="1" applyBorder="1" applyAlignment="1" applyProtection="1">
      <alignment horizontal="left" vertical="center"/>
    </xf>
    <xf numFmtId="0" fontId="6" fillId="0" borderId="5" xfId="0" applyFont="1" applyBorder="1" applyProtection="1"/>
    <xf numFmtId="0" fontId="6" fillId="0" borderId="8" xfId="0" applyFont="1" applyBorder="1" applyProtection="1"/>
    <xf numFmtId="0" fontId="6" fillId="0" borderId="4" xfId="0" applyFont="1" applyBorder="1" applyProtection="1"/>
    <xf numFmtId="0" fontId="5" fillId="0" borderId="8" xfId="0" applyFont="1" applyBorder="1" applyAlignment="1" applyProtection="1">
      <alignment horizontal="left" vertical="center"/>
    </xf>
    <xf numFmtId="14" fontId="8" fillId="12" borderId="4" xfId="0" applyNumberFormat="1" applyFont="1" applyFill="1" applyBorder="1" applyAlignment="1" applyProtection="1">
      <alignment horizontal="center" vertical="center"/>
      <protection locked="0"/>
    </xf>
  </cellXfs>
  <cellStyles count="9">
    <cellStyle name="Moeda" xfId="2" builtinId="4"/>
    <cellStyle name="Moeda 2" xfId="6" xr:uid="{00000000-0005-0000-0000-000001000000}"/>
    <cellStyle name="Moeda 3" xfId="8" xr:uid="{00000000-0005-0000-0000-000032000000}"/>
    <cellStyle name="Normal" xfId="0" builtinId="0"/>
    <cellStyle name="Normal 2" xfId="4" xr:uid="{00000000-0005-0000-0000-000003000000}"/>
    <cellStyle name="Normal 2 2" xfId="5" xr:uid="{00000000-0005-0000-0000-000004000000}"/>
    <cellStyle name="Porcentagem" xfId="3" builtinId="5"/>
    <cellStyle name="Vírgula" xfId="1" builtinId="3"/>
    <cellStyle name="Vírgula 2" xfId="7" xr:uid="{00000000-0005-0000-0000-00003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2:F18"/>
  <sheetViews>
    <sheetView workbookViewId="0">
      <selection activeCell="H8" sqref="H8"/>
    </sheetView>
  </sheetViews>
  <sheetFormatPr defaultRowHeight="15" x14ac:dyDescent="0.25"/>
  <cols>
    <col min="2" max="2" width="34.5703125" bestFit="1" customWidth="1"/>
    <col min="3" max="3" width="11.7109375" style="11" bestFit="1" customWidth="1"/>
    <col min="4" max="4" width="11.7109375" style="11" customWidth="1"/>
    <col min="5" max="5" width="14" bestFit="1" customWidth="1"/>
    <col min="6" max="6" width="15" bestFit="1" customWidth="1"/>
  </cols>
  <sheetData>
    <row r="2" spans="2:6" x14ac:dyDescent="0.25">
      <c r="B2" s="9" t="s">
        <v>130</v>
      </c>
      <c r="C2" s="12" t="s">
        <v>131</v>
      </c>
      <c r="D2" s="12" t="s">
        <v>132</v>
      </c>
      <c r="E2" s="9" t="s">
        <v>133</v>
      </c>
      <c r="F2" s="9" t="s">
        <v>134</v>
      </c>
    </row>
    <row r="3" spans="2:6" x14ac:dyDescent="0.25">
      <c r="B3" s="6" t="s">
        <v>94</v>
      </c>
      <c r="C3" s="13" t="e">
        <f>#REF!</f>
        <v>#REF!</v>
      </c>
      <c r="D3" s="13" t="e">
        <f>C3/220</f>
        <v>#REF!</v>
      </c>
      <c r="E3" s="10" t="e">
        <f>D3*1.5</f>
        <v>#REF!</v>
      </c>
      <c r="F3" s="13" t="e">
        <f>D3*2</f>
        <v>#REF!</v>
      </c>
    </row>
    <row r="4" spans="2:6" x14ac:dyDescent="0.25">
      <c r="B4" s="6" t="s">
        <v>95</v>
      </c>
      <c r="C4" s="13" t="e">
        <f>#REF!</f>
        <v>#REF!</v>
      </c>
      <c r="D4" s="13" t="e">
        <f t="shared" ref="D4:D18" si="0">C4/220</f>
        <v>#REF!</v>
      </c>
      <c r="E4" s="10" t="e">
        <f t="shared" ref="E4:E18" si="1">D4*1.5</f>
        <v>#REF!</v>
      </c>
      <c r="F4" s="13" t="e">
        <f t="shared" ref="F4:F18" si="2">D4*2</f>
        <v>#REF!</v>
      </c>
    </row>
    <row r="5" spans="2:6" x14ac:dyDescent="0.25">
      <c r="B5" s="6" t="s">
        <v>96</v>
      </c>
      <c r="C5" s="13" t="e">
        <f>#REF!</f>
        <v>#REF!</v>
      </c>
      <c r="D5" s="13" t="e">
        <f t="shared" si="0"/>
        <v>#REF!</v>
      </c>
      <c r="E5" s="10" t="e">
        <f t="shared" si="1"/>
        <v>#REF!</v>
      </c>
      <c r="F5" s="13" t="e">
        <f t="shared" si="2"/>
        <v>#REF!</v>
      </c>
    </row>
    <row r="6" spans="2:6" x14ac:dyDescent="0.25">
      <c r="B6" s="6" t="s">
        <v>99</v>
      </c>
      <c r="C6" s="13" t="e">
        <f>#REF!</f>
        <v>#REF!</v>
      </c>
      <c r="D6" s="13" t="e">
        <f t="shared" si="0"/>
        <v>#REF!</v>
      </c>
      <c r="E6" s="10" t="e">
        <f t="shared" si="1"/>
        <v>#REF!</v>
      </c>
      <c r="F6" s="13" t="e">
        <f t="shared" si="2"/>
        <v>#REF!</v>
      </c>
    </row>
    <row r="7" spans="2:6" x14ac:dyDescent="0.25">
      <c r="B7" s="6" t="s">
        <v>97</v>
      </c>
      <c r="C7" s="13" t="e">
        <f>#REF!</f>
        <v>#REF!</v>
      </c>
      <c r="D7" s="13" t="e">
        <f t="shared" si="0"/>
        <v>#REF!</v>
      </c>
      <c r="E7" s="10" t="e">
        <f t="shared" si="1"/>
        <v>#REF!</v>
      </c>
      <c r="F7" s="13" t="e">
        <f t="shared" si="2"/>
        <v>#REF!</v>
      </c>
    </row>
    <row r="8" spans="2:6" x14ac:dyDescent="0.25">
      <c r="B8" s="6" t="s">
        <v>98</v>
      </c>
      <c r="C8" s="13" t="e">
        <f>#REF!</f>
        <v>#REF!</v>
      </c>
      <c r="D8" s="13" t="e">
        <f t="shared" si="0"/>
        <v>#REF!</v>
      </c>
      <c r="E8" s="10" t="e">
        <f t="shared" si="1"/>
        <v>#REF!</v>
      </c>
      <c r="F8" s="13" t="e">
        <f t="shared" si="2"/>
        <v>#REF!</v>
      </c>
    </row>
    <row r="9" spans="2:6" x14ac:dyDescent="0.25">
      <c r="B9" s="6" t="s">
        <v>100</v>
      </c>
      <c r="C9" s="13" t="e">
        <f>#REF!</f>
        <v>#REF!</v>
      </c>
      <c r="D9" s="13" t="e">
        <f t="shared" si="0"/>
        <v>#REF!</v>
      </c>
      <c r="E9" s="10" t="e">
        <f t="shared" si="1"/>
        <v>#REF!</v>
      </c>
      <c r="F9" s="13" t="e">
        <f t="shared" si="2"/>
        <v>#REF!</v>
      </c>
    </row>
    <row r="10" spans="2:6" x14ac:dyDescent="0.25">
      <c r="B10" s="6" t="s">
        <v>101</v>
      </c>
      <c r="C10" s="13" t="e">
        <f>#REF!</f>
        <v>#REF!</v>
      </c>
      <c r="D10" s="13" t="e">
        <f t="shared" si="0"/>
        <v>#REF!</v>
      </c>
      <c r="E10" s="10" t="e">
        <f t="shared" si="1"/>
        <v>#REF!</v>
      </c>
      <c r="F10" s="13" t="e">
        <f t="shared" si="2"/>
        <v>#REF!</v>
      </c>
    </row>
    <row r="11" spans="2:6" x14ac:dyDescent="0.25">
      <c r="B11" s="6" t="s">
        <v>102</v>
      </c>
      <c r="C11" s="13" t="e">
        <f>#REF!</f>
        <v>#REF!</v>
      </c>
      <c r="D11" s="13" t="e">
        <f t="shared" si="0"/>
        <v>#REF!</v>
      </c>
      <c r="E11" s="10" t="e">
        <f t="shared" si="1"/>
        <v>#REF!</v>
      </c>
      <c r="F11" s="13" t="e">
        <f t="shared" si="2"/>
        <v>#REF!</v>
      </c>
    </row>
    <row r="12" spans="2:6" x14ac:dyDescent="0.25">
      <c r="B12" s="6" t="s">
        <v>103</v>
      </c>
      <c r="C12" s="13" t="e">
        <f>#REF!</f>
        <v>#REF!</v>
      </c>
      <c r="D12" s="13" t="e">
        <f t="shared" si="0"/>
        <v>#REF!</v>
      </c>
      <c r="E12" s="10" t="e">
        <f t="shared" si="1"/>
        <v>#REF!</v>
      </c>
      <c r="F12" s="13" t="e">
        <f t="shared" si="2"/>
        <v>#REF!</v>
      </c>
    </row>
    <row r="13" spans="2:6" x14ac:dyDescent="0.25">
      <c r="B13" s="6" t="s">
        <v>104</v>
      </c>
      <c r="C13" s="13" t="e">
        <f>#REF!</f>
        <v>#REF!</v>
      </c>
      <c r="D13" s="13" t="e">
        <f t="shared" si="0"/>
        <v>#REF!</v>
      </c>
      <c r="E13" s="10" t="e">
        <f t="shared" si="1"/>
        <v>#REF!</v>
      </c>
      <c r="F13" s="13" t="e">
        <f t="shared" si="2"/>
        <v>#REF!</v>
      </c>
    </row>
    <row r="14" spans="2:6" x14ac:dyDescent="0.25">
      <c r="B14" s="6" t="s">
        <v>105</v>
      </c>
      <c r="C14" s="13" t="e">
        <f>#REF!</f>
        <v>#REF!</v>
      </c>
      <c r="D14" s="13" t="e">
        <f t="shared" si="0"/>
        <v>#REF!</v>
      </c>
      <c r="E14" s="10" t="e">
        <f t="shared" si="1"/>
        <v>#REF!</v>
      </c>
      <c r="F14" s="13" t="e">
        <f t="shared" si="2"/>
        <v>#REF!</v>
      </c>
    </row>
    <row r="15" spans="2:6" x14ac:dyDescent="0.25">
      <c r="B15" s="6" t="s">
        <v>106</v>
      </c>
      <c r="C15" s="13" t="e">
        <f>#REF!</f>
        <v>#REF!</v>
      </c>
      <c r="D15" s="13" t="e">
        <f t="shared" si="0"/>
        <v>#REF!</v>
      </c>
      <c r="E15" s="10" t="e">
        <f t="shared" si="1"/>
        <v>#REF!</v>
      </c>
      <c r="F15" s="13" t="e">
        <f t="shared" si="2"/>
        <v>#REF!</v>
      </c>
    </row>
    <row r="16" spans="2:6" x14ac:dyDescent="0.25">
      <c r="B16" s="6" t="s">
        <v>107</v>
      </c>
      <c r="C16" s="13" t="e">
        <f>#REF!</f>
        <v>#REF!</v>
      </c>
      <c r="D16" s="13" t="e">
        <f t="shared" si="0"/>
        <v>#REF!</v>
      </c>
      <c r="E16" s="10" t="e">
        <f t="shared" si="1"/>
        <v>#REF!</v>
      </c>
      <c r="F16" s="13" t="e">
        <f t="shared" si="2"/>
        <v>#REF!</v>
      </c>
    </row>
    <row r="17" spans="2:6" x14ac:dyDescent="0.25">
      <c r="B17" s="6" t="s">
        <v>108</v>
      </c>
      <c r="C17" s="13" t="e">
        <f>#REF!</f>
        <v>#REF!</v>
      </c>
      <c r="D17" s="13" t="e">
        <f t="shared" si="0"/>
        <v>#REF!</v>
      </c>
      <c r="E17" s="10" t="e">
        <f t="shared" si="1"/>
        <v>#REF!</v>
      </c>
      <c r="F17" s="13" t="e">
        <f t="shared" si="2"/>
        <v>#REF!</v>
      </c>
    </row>
    <row r="18" spans="2:6" x14ac:dyDescent="0.25">
      <c r="B18" s="6" t="s">
        <v>109</v>
      </c>
      <c r="C18" s="13" t="e">
        <f>#REF!</f>
        <v>#REF!</v>
      </c>
      <c r="D18" s="13" t="e">
        <f t="shared" si="0"/>
        <v>#REF!</v>
      </c>
      <c r="E18" s="10" t="e">
        <f t="shared" si="1"/>
        <v>#REF!</v>
      </c>
      <c r="F18" s="13" t="e">
        <f t="shared" si="2"/>
        <v>#REF!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B4B36-E0EB-48F9-B809-4C0AC1526547}">
  <sheetPr codeName="Planilha13">
    <pageSetUpPr fitToPage="1"/>
  </sheetPr>
  <dimension ref="A1:D215"/>
  <sheetViews>
    <sheetView view="pageBreakPreview" topLeftCell="A5" zoomScale="85" zoomScaleNormal="85" zoomScaleSheetLayoutView="85" workbookViewId="0">
      <selection activeCell="C30" sqref="C30"/>
    </sheetView>
  </sheetViews>
  <sheetFormatPr defaultColWidth="9.140625" defaultRowHeight="15" customHeight="1" outlineLevelRow="3" x14ac:dyDescent="0.25"/>
  <cols>
    <col min="1" max="1" width="16.7109375" style="19" customWidth="1"/>
    <col min="2" max="2" width="76.85546875" style="19" customWidth="1"/>
    <col min="3" max="3" width="22.85546875" style="19" customWidth="1"/>
    <col min="4" max="4" width="23.5703125" style="19" customWidth="1"/>
    <col min="5" max="16384" width="9.140625" style="19"/>
  </cols>
  <sheetData>
    <row r="1" spans="1:4" ht="15.75" x14ac:dyDescent="0.25">
      <c r="A1" s="544" t="s">
        <v>6</v>
      </c>
      <c r="B1" s="544"/>
      <c r="C1" s="544"/>
      <c r="D1" s="544"/>
    </row>
    <row r="2" spans="1:4" ht="15.75" x14ac:dyDescent="0.25">
      <c r="A2" s="545" t="s">
        <v>12</v>
      </c>
      <c r="B2" s="545"/>
      <c r="C2" s="546"/>
      <c r="D2" s="547"/>
    </row>
    <row r="3" spans="1:4" ht="15.75" x14ac:dyDescent="0.25">
      <c r="A3" s="545" t="s">
        <v>13</v>
      </c>
      <c r="B3" s="545"/>
      <c r="C3" s="546" t="s">
        <v>448</v>
      </c>
      <c r="D3" s="547"/>
    </row>
    <row r="4" spans="1:4" ht="15.75" x14ac:dyDescent="0.25">
      <c r="A4" s="517"/>
      <c r="B4" s="517"/>
      <c r="C4" s="517"/>
      <c r="D4" s="517"/>
    </row>
    <row r="5" spans="1:4" ht="15.75" x14ac:dyDescent="0.25">
      <c r="A5" s="517" t="s">
        <v>14</v>
      </c>
      <c r="B5" s="517"/>
      <c r="C5" s="517"/>
      <c r="D5" s="517"/>
    </row>
    <row r="6" spans="1:4" ht="15.75" x14ac:dyDescent="0.25">
      <c r="A6" s="171" t="s">
        <v>15</v>
      </c>
      <c r="B6" s="172" t="s">
        <v>5</v>
      </c>
      <c r="C6" s="518" t="s">
        <v>143</v>
      </c>
      <c r="D6" s="519"/>
    </row>
    <row r="7" spans="1:4" ht="15.75" x14ac:dyDescent="0.25">
      <c r="A7" s="171" t="s">
        <v>16</v>
      </c>
      <c r="B7" s="172" t="s">
        <v>4</v>
      </c>
      <c r="C7" s="520" t="s">
        <v>438</v>
      </c>
      <c r="D7" s="520"/>
    </row>
    <row r="8" spans="1:4" ht="15.75" x14ac:dyDescent="0.25">
      <c r="A8" s="23" t="s">
        <v>17</v>
      </c>
      <c r="B8" s="24" t="s">
        <v>18</v>
      </c>
      <c r="C8" s="521" t="s">
        <v>435</v>
      </c>
      <c r="D8" s="522"/>
    </row>
    <row r="9" spans="1:4" ht="15.75" x14ac:dyDescent="0.25">
      <c r="A9" s="171" t="s">
        <v>19</v>
      </c>
      <c r="B9" s="172" t="s">
        <v>20</v>
      </c>
      <c r="C9" s="523" t="s">
        <v>21</v>
      </c>
      <c r="D9" s="524"/>
    </row>
    <row r="10" spans="1:4" ht="15.75" x14ac:dyDescent="0.25">
      <c r="A10" s="171" t="s">
        <v>22</v>
      </c>
      <c r="B10" s="172" t="s">
        <v>23</v>
      </c>
      <c r="C10" s="523" t="s">
        <v>429</v>
      </c>
      <c r="D10" s="524"/>
    </row>
    <row r="11" spans="1:4" ht="15.75" x14ac:dyDescent="0.25">
      <c r="A11" s="171" t="s">
        <v>24</v>
      </c>
      <c r="B11" s="172" t="s">
        <v>249</v>
      </c>
      <c r="C11" s="550">
        <f>Resumo!F7</f>
        <v>721.7</v>
      </c>
      <c r="D11" s="551"/>
    </row>
    <row r="12" spans="1:4" ht="15.75" x14ac:dyDescent="0.25">
      <c r="A12" s="171" t="s">
        <v>25</v>
      </c>
      <c r="B12" s="172" t="s">
        <v>26</v>
      </c>
      <c r="C12" s="552">
        <f>Resumo!I5</f>
        <v>12</v>
      </c>
      <c r="D12" s="539"/>
    </row>
    <row r="13" spans="1:4" ht="15.75" x14ac:dyDescent="0.25">
      <c r="A13" s="553"/>
      <c r="B13" s="554"/>
      <c r="C13" s="554"/>
      <c r="D13" s="554"/>
    </row>
    <row r="14" spans="1:4" ht="15.75" x14ac:dyDescent="0.25">
      <c r="A14" s="555" t="s">
        <v>27</v>
      </c>
      <c r="B14" s="556"/>
      <c r="C14" s="556"/>
      <c r="D14" s="557"/>
    </row>
    <row r="15" spans="1:4" ht="15.75" x14ac:dyDescent="0.25">
      <c r="A15" s="520" t="s">
        <v>28</v>
      </c>
      <c r="B15" s="520"/>
      <c r="C15" s="520"/>
      <c r="D15" s="520"/>
    </row>
    <row r="16" spans="1:4" ht="15.75" x14ac:dyDescent="0.25">
      <c r="A16" s="171">
        <v>1</v>
      </c>
      <c r="B16" s="172" t="s">
        <v>29</v>
      </c>
      <c r="C16" s="523" t="s">
        <v>271</v>
      </c>
      <c r="D16" s="524" t="s">
        <v>0</v>
      </c>
    </row>
    <row r="17" spans="1:4" ht="15.75" x14ac:dyDescent="0.25">
      <c r="A17" s="171">
        <v>2</v>
      </c>
      <c r="B17" s="25" t="s">
        <v>30</v>
      </c>
      <c r="C17" s="548" t="s">
        <v>270</v>
      </c>
      <c r="D17" s="549"/>
    </row>
    <row r="18" spans="1:4" ht="15.75" x14ac:dyDescent="0.25">
      <c r="A18" s="520" t="s">
        <v>31</v>
      </c>
      <c r="B18" s="520"/>
      <c r="C18" s="520"/>
      <c r="D18" s="520"/>
    </row>
    <row r="19" spans="1:4" ht="15.75" x14ac:dyDescent="0.3">
      <c r="A19" s="171">
        <v>3</v>
      </c>
      <c r="B19" s="525" t="s">
        <v>3</v>
      </c>
      <c r="C19" s="526"/>
      <c r="D19" s="97">
        <v>1240</v>
      </c>
    </row>
    <row r="20" spans="1:4" ht="15.75" x14ac:dyDescent="0.3">
      <c r="A20" s="171">
        <v>4</v>
      </c>
      <c r="B20" s="525" t="s">
        <v>250</v>
      </c>
      <c r="C20" s="526"/>
      <c r="D20" s="153">
        <v>220</v>
      </c>
    </row>
    <row r="21" spans="1:4" ht="15.75" x14ac:dyDescent="0.25">
      <c r="A21" s="171">
        <v>5</v>
      </c>
      <c r="B21" s="525" t="s">
        <v>32</v>
      </c>
      <c r="C21" s="526"/>
      <c r="D21" s="66" t="s">
        <v>272</v>
      </c>
    </row>
    <row r="22" spans="1:4" ht="15.75" x14ac:dyDescent="0.25">
      <c r="A22" s="171">
        <v>6</v>
      </c>
      <c r="B22" s="525" t="s">
        <v>2</v>
      </c>
      <c r="C22" s="526"/>
      <c r="D22" s="67">
        <v>44562</v>
      </c>
    </row>
    <row r="23" spans="1:4" ht="15.75" x14ac:dyDescent="0.25">
      <c r="A23" s="523"/>
      <c r="B23" s="535"/>
      <c r="C23" s="535"/>
      <c r="D23" s="524"/>
    </row>
    <row r="24" spans="1:4" ht="15.75" x14ac:dyDescent="0.25">
      <c r="A24" s="536" t="s">
        <v>33</v>
      </c>
      <c r="B24" s="536"/>
      <c r="C24" s="536"/>
      <c r="D24" s="536"/>
    </row>
    <row r="25" spans="1:4" ht="15.75" x14ac:dyDescent="0.25">
      <c r="A25" s="537"/>
      <c r="B25" s="538"/>
      <c r="C25" s="538"/>
      <c r="D25" s="539"/>
    </row>
    <row r="26" spans="1:4" ht="15.75" x14ac:dyDescent="0.25">
      <c r="A26" s="166">
        <v>1</v>
      </c>
      <c r="B26" s="540" t="s">
        <v>34</v>
      </c>
      <c r="C26" s="541"/>
      <c r="D26" s="166" t="s">
        <v>35</v>
      </c>
    </row>
    <row r="27" spans="1:4" ht="15.75" hidden="1" outlineLevel="1" x14ac:dyDescent="0.25">
      <c r="A27" s="165" t="s">
        <v>36</v>
      </c>
      <c r="B27" s="164" t="s">
        <v>144</v>
      </c>
      <c r="C27" s="64">
        <f>D20</f>
        <v>220</v>
      </c>
      <c r="D27" s="98">
        <f>D19/220*C27</f>
        <v>1240</v>
      </c>
    </row>
    <row r="28" spans="1:4" ht="15.75" hidden="1" outlineLevel="1" x14ac:dyDescent="0.25">
      <c r="A28" s="165" t="s">
        <v>16</v>
      </c>
      <c r="B28" s="164" t="s">
        <v>145</v>
      </c>
      <c r="C28" s="26">
        <v>0</v>
      </c>
      <c r="D28" s="98">
        <f>C28*D27</f>
        <v>0</v>
      </c>
    </row>
    <row r="29" spans="1:4" ht="15.75" hidden="1" outlineLevel="1" x14ac:dyDescent="0.25">
      <c r="A29" s="165" t="s">
        <v>17</v>
      </c>
      <c r="B29" s="164" t="s">
        <v>38</v>
      </c>
      <c r="C29" s="26">
        <v>0.2</v>
      </c>
      <c r="D29" s="98">
        <f>C29*D27</f>
        <v>248</v>
      </c>
    </row>
    <row r="30" spans="1:4" ht="15.75" hidden="1" outlineLevel="1" x14ac:dyDescent="0.25">
      <c r="A30" s="165" t="s">
        <v>19</v>
      </c>
      <c r="B30" s="164" t="s">
        <v>146</v>
      </c>
      <c r="C30" s="154">
        <v>0</v>
      </c>
      <c r="D30" s="99">
        <f>SUM(D31:D32)</f>
        <v>0</v>
      </c>
    </row>
    <row r="31" spans="1:4" ht="15.75" hidden="1" outlineLevel="2" x14ac:dyDescent="0.25">
      <c r="A31" s="71" t="s">
        <v>111</v>
      </c>
      <c r="B31" s="164" t="s">
        <v>147</v>
      </c>
      <c r="C31" s="72">
        <v>0.2</v>
      </c>
      <c r="D31" s="99">
        <f>(SUM(D27:D29)/C27)*C31*15*C30</f>
        <v>0</v>
      </c>
    </row>
    <row r="32" spans="1:4" ht="15.75" hidden="1" outlineLevel="2" x14ac:dyDescent="0.25">
      <c r="A32" s="71" t="s">
        <v>112</v>
      </c>
      <c r="B32" s="164" t="s">
        <v>148</v>
      </c>
      <c r="C32" s="73">
        <f>C30*(60/52.5)/8</f>
        <v>0</v>
      </c>
      <c r="D32" s="99">
        <f>(SUM(D27:D29)/C27)*(C31)*15*C32</f>
        <v>0</v>
      </c>
    </row>
    <row r="33" spans="1:4" ht="15.75" hidden="1" outlineLevel="1" collapsed="1" x14ac:dyDescent="0.25">
      <c r="A33" s="169" t="s">
        <v>22</v>
      </c>
      <c r="B33" s="167" t="s">
        <v>149</v>
      </c>
      <c r="C33" s="74" t="s">
        <v>150</v>
      </c>
      <c r="D33" s="1">
        <f>SUM(D34:D37)</f>
        <v>0</v>
      </c>
    </row>
    <row r="34" spans="1:4" ht="15.75" hidden="1" outlineLevel="2" x14ac:dyDescent="0.25">
      <c r="A34" s="75" t="s">
        <v>151</v>
      </c>
      <c r="B34" s="168" t="s">
        <v>152</v>
      </c>
      <c r="C34" s="76">
        <v>0</v>
      </c>
      <c r="D34" s="100">
        <f>(SUM($D$27:$D$29)/$C$27)*C34*1.5</f>
        <v>0</v>
      </c>
    </row>
    <row r="35" spans="1:4" ht="15.75" hidden="1" outlineLevel="2" x14ac:dyDescent="0.25">
      <c r="A35" s="75" t="s">
        <v>153</v>
      </c>
      <c r="B35" s="77" t="s">
        <v>154</v>
      </c>
      <c r="C35" s="78">
        <v>0</v>
      </c>
      <c r="D35" s="100">
        <f>(SUM($D$27:$D$29)/$C$27)*C35*((60/52.5)*1.2*1.5)</f>
        <v>0</v>
      </c>
    </row>
    <row r="36" spans="1:4" ht="15.75" hidden="1" outlineLevel="2" x14ac:dyDescent="0.25">
      <c r="A36" s="75" t="s">
        <v>155</v>
      </c>
      <c r="B36" s="168" t="s">
        <v>156</v>
      </c>
      <c r="C36" s="79">
        <f>C34*0.1429</f>
        <v>0</v>
      </c>
      <c r="D36" s="100">
        <f>(SUM($D$27:$D$29)/$C$27)*C36*2</f>
        <v>0</v>
      </c>
    </row>
    <row r="37" spans="1:4" ht="15.75" hidden="1" outlineLevel="2" x14ac:dyDescent="0.25">
      <c r="A37" s="75" t="s">
        <v>157</v>
      </c>
      <c r="B37" s="168" t="s">
        <v>158</v>
      </c>
      <c r="C37" s="79">
        <f>C34*0.1429</f>
        <v>0</v>
      </c>
      <c r="D37" s="100">
        <f>(SUM($D$27:$D$29)/$C$27)*C37*((60/52.5)*1.2*2)</f>
        <v>0</v>
      </c>
    </row>
    <row r="38" spans="1:4" ht="15.75" hidden="1" outlineLevel="1" collapsed="1" x14ac:dyDescent="0.25">
      <c r="A38" s="165" t="s">
        <v>24</v>
      </c>
      <c r="B38" s="54" t="s">
        <v>39</v>
      </c>
      <c r="C38" s="55">
        <v>0</v>
      </c>
      <c r="D38" s="101">
        <v>0</v>
      </c>
    </row>
    <row r="39" spans="1:4" ht="15.75" collapsed="1" x14ac:dyDescent="0.25">
      <c r="A39" s="540" t="s">
        <v>40</v>
      </c>
      <c r="B39" s="542"/>
      <c r="C39" s="541"/>
      <c r="D39" s="102">
        <f>SUM(D27:D30,D33,D38)</f>
        <v>1488</v>
      </c>
    </row>
    <row r="40" spans="1:4" ht="15.75" x14ac:dyDescent="0.25">
      <c r="A40" s="543"/>
      <c r="B40" s="543"/>
      <c r="C40" s="543"/>
      <c r="D40" s="543"/>
    </row>
    <row r="41" spans="1:4" ht="15.75" hidden="1" outlineLevel="1" x14ac:dyDescent="0.25">
      <c r="A41" s="80" t="s">
        <v>159</v>
      </c>
      <c r="B41" s="103" t="s">
        <v>160</v>
      </c>
      <c r="C41" s="104" t="s">
        <v>161</v>
      </c>
      <c r="D41" s="104" t="s">
        <v>35</v>
      </c>
    </row>
    <row r="42" spans="1:4" ht="15.75" hidden="1" outlineLevel="1" x14ac:dyDescent="0.25">
      <c r="A42" s="163" t="s">
        <v>36</v>
      </c>
      <c r="B42" s="25" t="s">
        <v>162</v>
      </c>
      <c r="C42" s="81">
        <v>0</v>
      </c>
      <c r="D42" s="105">
        <f>(SUM(D27)/$C$27)*C42*1.5</f>
        <v>0</v>
      </c>
    </row>
    <row r="43" spans="1:4" ht="15.75" hidden="1" outlineLevel="1" x14ac:dyDescent="0.25">
      <c r="A43" s="106" t="s">
        <v>17</v>
      </c>
      <c r="B43" s="107" t="s">
        <v>163</v>
      </c>
      <c r="C43" s="108">
        <v>0</v>
      </c>
      <c r="D43" s="98">
        <f>C43*177</f>
        <v>0</v>
      </c>
    </row>
    <row r="44" spans="1:4" ht="15.75" hidden="1" outlineLevel="1" x14ac:dyDescent="0.25">
      <c r="A44" s="165" t="s">
        <v>19</v>
      </c>
      <c r="B44" s="54" t="s">
        <v>39</v>
      </c>
      <c r="C44" s="55">
        <v>0</v>
      </c>
      <c r="D44" s="101">
        <v>0</v>
      </c>
    </row>
    <row r="45" spans="1:4" ht="15.75" collapsed="1" x14ac:dyDescent="0.25">
      <c r="A45" s="527" t="s">
        <v>164</v>
      </c>
      <c r="B45" s="528"/>
      <c r="C45" s="28">
        <f>D45/D39</f>
        <v>0</v>
      </c>
      <c r="D45" s="109">
        <f>SUM(D42:D43)</f>
        <v>0</v>
      </c>
    </row>
    <row r="46" spans="1:4" ht="15.75" x14ac:dyDescent="0.25">
      <c r="A46" s="529"/>
      <c r="B46" s="530"/>
      <c r="C46" s="530"/>
      <c r="D46" s="531"/>
    </row>
    <row r="47" spans="1:4" ht="15.75" x14ac:dyDescent="0.25">
      <c r="A47" s="532" t="s">
        <v>41</v>
      </c>
      <c r="B47" s="533"/>
      <c r="C47" s="533"/>
      <c r="D47" s="534"/>
    </row>
    <row r="48" spans="1:4" ht="15.75" hidden="1" outlineLevel="1" x14ac:dyDescent="0.25">
      <c r="A48" s="529"/>
      <c r="B48" s="530"/>
      <c r="C48" s="530"/>
      <c r="D48" s="531"/>
    </row>
    <row r="49" spans="1:4" ht="15.75" hidden="1" outlineLevel="1" x14ac:dyDescent="0.25">
      <c r="A49" s="104" t="s">
        <v>42</v>
      </c>
      <c r="B49" s="103" t="s">
        <v>43</v>
      </c>
      <c r="C49" s="104" t="s">
        <v>44</v>
      </c>
      <c r="D49" s="104" t="s">
        <v>35</v>
      </c>
    </row>
    <row r="50" spans="1:4" ht="15.75" hidden="1" outlineLevel="2" x14ac:dyDescent="0.25">
      <c r="A50" s="106" t="s">
        <v>36</v>
      </c>
      <c r="B50" s="107" t="s">
        <v>45</v>
      </c>
      <c r="C50" s="27">
        <f>1/12</f>
        <v>8.3299999999999999E-2</v>
      </c>
      <c r="D50" s="98">
        <f>C50*D39</f>
        <v>123.95</v>
      </c>
    </row>
    <row r="51" spans="1:4" ht="15.75" hidden="1" outlineLevel="2" x14ac:dyDescent="0.25">
      <c r="A51" s="106" t="s">
        <v>16</v>
      </c>
      <c r="B51" s="107" t="s">
        <v>113</v>
      </c>
      <c r="C51" s="27">
        <f>IF(C12&gt;60,(1/C12/3)*5,IF(C12&gt;48,(1/C12/3)*4,IF(C12&gt;36,(1/C12/3)*3,IF(C12&gt;24,(1/C12/3)*2,IF(C12&gt;12,(1/C12/3)*1,0)))))</f>
        <v>0</v>
      </c>
      <c r="D51" s="98">
        <f>C51*D39</f>
        <v>0</v>
      </c>
    </row>
    <row r="52" spans="1:4" ht="15.75" hidden="1" outlineLevel="1" x14ac:dyDescent="0.25">
      <c r="A52" s="527" t="s">
        <v>11</v>
      </c>
      <c r="B52" s="528"/>
      <c r="C52" s="28">
        <f>SUM(C50:C51)</f>
        <v>8.3299999999999999E-2</v>
      </c>
      <c r="D52" s="109">
        <f>SUM(D50:D51)</f>
        <v>123.95</v>
      </c>
    </row>
    <row r="53" spans="1:4" ht="15.75" hidden="1" outlineLevel="1" x14ac:dyDescent="0.25">
      <c r="A53" s="529"/>
      <c r="B53" s="530"/>
      <c r="C53" s="530"/>
      <c r="D53" s="531"/>
    </row>
    <row r="54" spans="1:4" ht="15.75" hidden="1" outlineLevel="1" x14ac:dyDescent="0.25">
      <c r="A54" s="104" t="s">
        <v>46</v>
      </c>
      <c r="B54" s="110" t="s">
        <v>47</v>
      </c>
      <c r="C54" s="104" t="s">
        <v>44</v>
      </c>
      <c r="D54" s="111" t="s">
        <v>35</v>
      </c>
    </row>
    <row r="55" spans="1:4" ht="15.75" hidden="1" outlineLevel="2" x14ac:dyDescent="0.25">
      <c r="A55" s="163" t="s">
        <v>36</v>
      </c>
      <c r="B55" s="29" t="s">
        <v>48</v>
      </c>
      <c r="C55" s="30">
        <v>0.2</v>
      </c>
      <c r="D55" s="98">
        <f t="shared" ref="D55:D62" si="0">C55*($D$39+$D$52)</f>
        <v>322.39</v>
      </c>
    </row>
    <row r="56" spans="1:4" ht="15.75" hidden="1" outlineLevel="2" x14ac:dyDescent="0.25">
      <c r="A56" s="163" t="s">
        <v>16</v>
      </c>
      <c r="B56" s="29" t="s">
        <v>49</v>
      </c>
      <c r="C56" s="30">
        <v>2.5000000000000001E-2</v>
      </c>
      <c r="D56" s="98">
        <f t="shared" si="0"/>
        <v>40.299999999999997</v>
      </c>
    </row>
    <row r="57" spans="1:4" ht="15.75" hidden="1" outlineLevel="2" x14ac:dyDescent="0.25">
      <c r="A57" s="163" t="s">
        <v>17</v>
      </c>
      <c r="B57" s="29" t="s">
        <v>165</v>
      </c>
      <c r="C57" s="59">
        <v>0.03</v>
      </c>
      <c r="D57" s="98">
        <f t="shared" si="0"/>
        <v>48.36</v>
      </c>
    </row>
    <row r="58" spans="1:4" ht="15.75" hidden="1" outlineLevel="2" x14ac:dyDescent="0.25">
      <c r="A58" s="163" t="s">
        <v>19</v>
      </c>
      <c r="B58" s="29" t="s">
        <v>166</v>
      </c>
      <c r="C58" s="30">
        <v>1.4999999999999999E-2</v>
      </c>
      <c r="D58" s="98">
        <f t="shared" si="0"/>
        <v>24.18</v>
      </c>
    </row>
    <row r="59" spans="1:4" ht="15.75" hidden="1" outlineLevel="2" x14ac:dyDescent="0.25">
      <c r="A59" s="163" t="s">
        <v>22</v>
      </c>
      <c r="B59" s="29" t="s">
        <v>167</v>
      </c>
      <c r="C59" s="30">
        <v>0.01</v>
      </c>
      <c r="D59" s="98">
        <f t="shared" si="0"/>
        <v>16.12</v>
      </c>
    </row>
    <row r="60" spans="1:4" ht="15.75" hidden="1" outlineLevel="2" x14ac:dyDescent="0.25">
      <c r="A60" s="163" t="s">
        <v>24</v>
      </c>
      <c r="B60" s="29" t="s">
        <v>50</v>
      </c>
      <c r="C60" s="30">
        <v>6.0000000000000001E-3</v>
      </c>
      <c r="D60" s="98">
        <f t="shared" si="0"/>
        <v>9.67</v>
      </c>
    </row>
    <row r="61" spans="1:4" ht="15.75" hidden="1" outlineLevel="2" x14ac:dyDescent="0.25">
      <c r="A61" s="163" t="s">
        <v>25</v>
      </c>
      <c r="B61" s="29" t="s">
        <v>51</v>
      </c>
      <c r="C61" s="30">
        <v>2E-3</v>
      </c>
      <c r="D61" s="98">
        <f t="shared" si="0"/>
        <v>3.22</v>
      </c>
    </row>
    <row r="62" spans="1:4" ht="15.75" hidden="1" outlineLevel="2" x14ac:dyDescent="0.25">
      <c r="A62" s="163" t="s">
        <v>52</v>
      </c>
      <c r="B62" s="29" t="s">
        <v>53</v>
      </c>
      <c r="C62" s="30">
        <v>0.08</v>
      </c>
      <c r="D62" s="98">
        <f t="shared" si="0"/>
        <v>128.96</v>
      </c>
    </row>
    <row r="63" spans="1:4" ht="15.75" hidden="1" outlineLevel="1" x14ac:dyDescent="0.25">
      <c r="A63" s="527" t="s">
        <v>11</v>
      </c>
      <c r="B63" s="528"/>
      <c r="C63" s="31">
        <f>SUM(C55:C62)</f>
        <v>0.36799999999999999</v>
      </c>
      <c r="D63" s="112">
        <f>SUM(D55:D62)</f>
        <v>593.20000000000005</v>
      </c>
    </row>
    <row r="64" spans="1:4" ht="15.75" hidden="1" outlineLevel="1" x14ac:dyDescent="0.25">
      <c r="A64" s="529"/>
      <c r="B64" s="530"/>
      <c r="C64" s="530"/>
      <c r="D64" s="531"/>
    </row>
    <row r="65" spans="1:4" ht="15.75" hidden="1" outlineLevel="1" x14ac:dyDescent="0.25">
      <c r="A65" s="104" t="s">
        <v>54</v>
      </c>
      <c r="B65" s="110" t="s">
        <v>55</v>
      </c>
      <c r="C65" s="104" t="s">
        <v>56</v>
      </c>
      <c r="D65" s="104" t="s">
        <v>35</v>
      </c>
    </row>
    <row r="66" spans="1:4" ht="15.75" hidden="1" outlineLevel="2" x14ac:dyDescent="0.25">
      <c r="A66" s="163" t="s">
        <v>36</v>
      </c>
      <c r="B66" s="29" t="s">
        <v>57</v>
      </c>
      <c r="C66" s="113">
        <v>4.75</v>
      </c>
      <c r="D66" s="114">
        <f>IF(D67+D68&gt;0,(D67+D68),0)</f>
        <v>125.1</v>
      </c>
    </row>
    <row r="67" spans="1:4" ht="15.75" hidden="1" outlineLevel="3" x14ac:dyDescent="0.25">
      <c r="A67" s="115" t="s">
        <v>110</v>
      </c>
      <c r="B67" s="29" t="s">
        <v>168</v>
      </c>
      <c r="C67" s="116">
        <v>21</v>
      </c>
      <c r="D67" s="117">
        <f>C66*C67*2</f>
        <v>199.5</v>
      </c>
    </row>
    <row r="68" spans="1:4" ht="15.75" hidden="1" outlineLevel="3" x14ac:dyDescent="0.25">
      <c r="A68" s="115" t="s">
        <v>114</v>
      </c>
      <c r="B68" s="29" t="s">
        <v>169</v>
      </c>
      <c r="C68" s="118">
        <v>0.06</v>
      </c>
      <c r="D68" s="117">
        <f>-D27*C68</f>
        <v>-74.400000000000006</v>
      </c>
    </row>
    <row r="69" spans="1:4" ht="15.75" hidden="1" outlineLevel="2" x14ac:dyDescent="0.25">
      <c r="A69" s="163" t="s">
        <v>16</v>
      </c>
      <c r="B69" s="29" t="s">
        <v>58</v>
      </c>
      <c r="C69" s="119">
        <f>'ASG - Superintendencia (Int)'!C69</f>
        <v>19.5</v>
      </c>
      <c r="D69" s="114">
        <f>D70+D71</f>
        <v>331.69</v>
      </c>
    </row>
    <row r="70" spans="1:4" ht="15.75" hidden="1" outlineLevel="3" x14ac:dyDescent="0.25">
      <c r="A70" s="115" t="s">
        <v>90</v>
      </c>
      <c r="B70" s="29" t="s">
        <v>170</v>
      </c>
      <c r="C70" s="116">
        <v>21</v>
      </c>
      <c r="D70" s="117">
        <f>C69*C70</f>
        <v>409.5</v>
      </c>
    </row>
    <row r="71" spans="1:4" ht="15.75" hidden="1" outlineLevel="3" x14ac:dyDescent="0.25">
      <c r="A71" s="115" t="s">
        <v>115</v>
      </c>
      <c r="B71" s="29" t="s">
        <v>91</v>
      </c>
      <c r="C71" s="120">
        <v>-0.19</v>
      </c>
      <c r="D71" s="117">
        <f>D70*C71</f>
        <v>-77.81</v>
      </c>
    </row>
    <row r="72" spans="1:4" ht="15.75" hidden="1" outlineLevel="2" x14ac:dyDescent="0.25">
      <c r="A72" s="163" t="s">
        <v>17</v>
      </c>
      <c r="B72" s="68" t="s">
        <v>286</v>
      </c>
      <c r="C72" s="123">
        <v>17.32</v>
      </c>
      <c r="D72" s="122">
        <f>C72</f>
        <v>17.32</v>
      </c>
    </row>
    <row r="73" spans="1:4" ht="15.75" hidden="1" outlineLevel="2" x14ac:dyDescent="0.25">
      <c r="A73" s="163" t="s">
        <v>19</v>
      </c>
      <c r="B73" s="69" t="s">
        <v>288</v>
      </c>
      <c r="C73" s="123">
        <f>140*3</f>
        <v>420</v>
      </c>
      <c r="D73" s="122">
        <f>C73*C152</f>
        <v>0.84</v>
      </c>
    </row>
    <row r="74" spans="1:4" ht="15.75" hidden="1" outlineLevel="2" x14ac:dyDescent="0.25">
      <c r="A74" s="163" t="s">
        <v>22</v>
      </c>
      <c r="B74" s="68" t="s">
        <v>287</v>
      </c>
      <c r="C74" s="123">
        <v>21</v>
      </c>
      <c r="D74" s="122">
        <f>C74</f>
        <v>21</v>
      </c>
    </row>
    <row r="75" spans="1:4" ht="15.75" hidden="1" outlineLevel="2" x14ac:dyDescent="0.25">
      <c r="A75" s="163" t="s">
        <v>24</v>
      </c>
      <c r="B75" s="68" t="s">
        <v>39</v>
      </c>
      <c r="C75" s="121">
        <v>0</v>
      </c>
      <c r="D75" s="122">
        <f>C75*D39</f>
        <v>0</v>
      </c>
    </row>
    <row r="76" spans="1:4" ht="15.75" hidden="1" outlineLevel="2" x14ac:dyDescent="0.25">
      <c r="A76" s="163" t="s">
        <v>25</v>
      </c>
      <c r="B76" s="68" t="s">
        <v>39</v>
      </c>
      <c r="C76" s="123">
        <v>0</v>
      </c>
      <c r="D76" s="124">
        <f>C76</f>
        <v>0</v>
      </c>
    </row>
    <row r="77" spans="1:4" ht="15.75" hidden="1" outlineLevel="1" x14ac:dyDescent="0.25">
      <c r="A77" s="527" t="s">
        <v>59</v>
      </c>
      <c r="B77" s="564"/>
      <c r="C77" s="528"/>
      <c r="D77" s="109">
        <f>SUM(D66,D69,D72:D76)</f>
        <v>495.95</v>
      </c>
    </row>
    <row r="78" spans="1:4" ht="15.75" hidden="1" outlineLevel="1" x14ac:dyDescent="0.25">
      <c r="A78" s="529"/>
      <c r="B78" s="530"/>
      <c r="C78" s="530"/>
      <c r="D78" s="531"/>
    </row>
    <row r="79" spans="1:4" ht="15.75" hidden="1" outlineLevel="1" x14ac:dyDescent="0.25">
      <c r="A79" s="565" t="s">
        <v>60</v>
      </c>
      <c r="B79" s="566"/>
      <c r="C79" s="104" t="s">
        <v>44</v>
      </c>
      <c r="D79" s="104" t="s">
        <v>35</v>
      </c>
    </row>
    <row r="80" spans="1:4" ht="15.75" hidden="1" outlineLevel="1" x14ac:dyDescent="0.25">
      <c r="A80" s="163" t="s">
        <v>61</v>
      </c>
      <c r="B80" s="29" t="s">
        <v>43</v>
      </c>
      <c r="C80" s="32">
        <f>C52</f>
        <v>8.3299999999999999E-2</v>
      </c>
      <c r="D80" s="98">
        <f>D52</f>
        <v>123.95</v>
      </c>
    </row>
    <row r="81" spans="1:4" ht="15.75" hidden="1" outlineLevel="1" x14ac:dyDescent="0.25">
      <c r="A81" s="163" t="s">
        <v>46</v>
      </c>
      <c r="B81" s="29" t="s">
        <v>47</v>
      </c>
      <c r="C81" s="32">
        <f>C63</f>
        <v>0.36799999999999999</v>
      </c>
      <c r="D81" s="98">
        <f>D63</f>
        <v>593.20000000000005</v>
      </c>
    </row>
    <row r="82" spans="1:4" ht="15.75" hidden="1" outlineLevel="1" x14ac:dyDescent="0.25">
      <c r="A82" s="163" t="s">
        <v>62</v>
      </c>
      <c r="B82" s="29" t="s">
        <v>55</v>
      </c>
      <c r="C82" s="32">
        <f>D77/D39</f>
        <v>0.33329999999999999</v>
      </c>
      <c r="D82" s="98">
        <f>D77</f>
        <v>495.95</v>
      </c>
    </row>
    <row r="83" spans="1:4" ht="15.75" collapsed="1" x14ac:dyDescent="0.25">
      <c r="A83" s="527" t="s">
        <v>11</v>
      </c>
      <c r="B83" s="564"/>
      <c r="C83" s="528"/>
      <c r="D83" s="109">
        <f>SUM(D80:D82)</f>
        <v>1213.0999999999999</v>
      </c>
    </row>
    <row r="84" spans="1:4" ht="15.75" x14ac:dyDescent="0.25">
      <c r="A84" s="529"/>
      <c r="B84" s="530"/>
      <c r="C84" s="530"/>
      <c r="D84" s="531"/>
    </row>
    <row r="85" spans="1:4" ht="15.75" x14ac:dyDescent="0.25">
      <c r="A85" s="558" t="s">
        <v>171</v>
      </c>
      <c r="B85" s="559"/>
      <c r="C85" s="559"/>
      <c r="D85" s="560"/>
    </row>
    <row r="86" spans="1:4" ht="15.75" hidden="1" outlineLevel="1" x14ac:dyDescent="0.25">
      <c r="A86" s="529"/>
      <c r="B86" s="530"/>
      <c r="C86" s="530"/>
      <c r="D86" s="531"/>
    </row>
    <row r="87" spans="1:4" ht="15.75" hidden="1" outlineLevel="1" x14ac:dyDescent="0.25">
      <c r="A87" s="166" t="s">
        <v>172</v>
      </c>
      <c r="B87" s="103" t="s">
        <v>173</v>
      </c>
      <c r="C87" s="104" t="s">
        <v>44</v>
      </c>
      <c r="D87" s="104" t="s">
        <v>35</v>
      </c>
    </row>
    <row r="88" spans="1:4" ht="15.75" hidden="1" outlineLevel="2" x14ac:dyDescent="0.25">
      <c r="A88" s="33" t="s">
        <v>36</v>
      </c>
      <c r="B88" s="34" t="s">
        <v>174</v>
      </c>
      <c r="C88" s="33" t="s">
        <v>150</v>
      </c>
      <c r="D88" s="125">
        <f>IF(C99&gt;1,SUM(D89:D92)*2,SUM(D89:D92))</f>
        <v>1906.23</v>
      </c>
    </row>
    <row r="89" spans="1:4" ht="15.75" hidden="1" outlineLevel="3" x14ac:dyDescent="0.25">
      <c r="A89" s="35" t="s">
        <v>175</v>
      </c>
      <c r="B89" s="36" t="s">
        <v>176</v>
      </c>
      <c r="C89" s="33">
        <f>(IF(C12&gt;60,45,IF(C12&gt;48,42,IF(C12&gt;36,39,IF(C12&gt;24,36,IF(C12&gt;12,33,30)))))/30)</f>
        <v>1</v>
      </c>
      <c r="D89" s="125">
        <f>D39*C89</f>
        <v>1488</v>
      </c>
    </row>
    <row r="90" spans="1:4" ht="15.75" hidden="1" outlineLevel="3" x14ac:dyDescent="0.25">
      <c r="A90" s="35" t="s">
        <v>177</v>
      </c>
      <c r="B90" s="36" t="s">
        <v>178</v>
      </c>
      <c r="C90" s="27">
        <f>1/12</f>
        <v>8.3299999999999999E-2</v>
      </c>
      <c r="D90" s="125">
        <f>C90*D89</f>
        <v>123.95</v>
      </c>
    </row>
    <row r="91" spans="1:4" ht="15.75" hidden="1" outlineLevel="3" x14ac:dyDescent="0.25">
      <c r="A91" s="35" t="s">
        <v>179</v>
      </c>
      <c r="B91" s="36" t="s">
        <v>180</v>
      </c>
      <c r="C91" s="27">
        <f>(1/12)+(1/12/3)</f>
        <v>0.1111</v>
      </c>
      <c r="D91" s="126">
        <f>C91*D89</f>
        <v>165.32</v>
      </c>
    </row>
    <row r="92" spans="1:4" ht="15.75" hidden="1" outlineLevel="3" x14ac:dyDescent="0.25">
      <c r="A92" s="35" t="s">
        <v>181</v>
      </c>
      <c r="B92" s="36" t="s">
        <v>182</v>
      </c>
      <c r="C92" s="37">
        <v>0.08</v>
      </c>
      <c r="D92" s="125">
        <f>SUM(D89:D90)*C92</f>
        <v>128.96</v>
      </c>
    </row>
    <row r="93" spans="1:4" ht="15.75" hidden="1" outlineLevel="2" x14ac:dyDescent="0.25">
      <c r="A93" s="33" t="s">
        <v>16</v>
      </c>
      <c r="B93" s="34" t="s">
        <v>183</v>
      </c>
      <c r="C93" s="38">
        <v>0.4</v>
      </c>
      <c r="D93" s="125">
        <f>C93*D94</f>
        <v>619.01</v>
      </c>
    </row>
    <row r="94" spans="1:4" ht="15.75" hidden="1" outlineLevel="3" x14ac:dyDescent="0.25">
      <c r="A94" s="33" t="s">
        <v>184</v>
      </c>
      <c r="B94" s="34" t="s">
        <v>185</v>
      </c>
      <c r="C94" s="38">
        <f>C62</f>
        <v>0.08</v>
      </c>
      <c r="D94" s="125">
        <f>C94*D95</f>
        <v>1547.52</v>
      </c>
    </row>
    <row r="95" spans="1:4" ht="15.75" hidden="1" outlineLevel="3" x14ac:dyDescent="0.25">
      <c r="A95" s="33" t="s">
        <v>186</v>
      </c>
      <c r="B95" s="39" t="s">
        <v>116</v>
      </c>
      <c r="C95" s="40" t="s">
        <v>150</v>
      </c>
      <c r="D95" s="126">
        <f>SUM(D96:D98)</f>
        <v>19344</v>
      </c>
    </row>
    <row r="96" spans="1:4" ht="15.75" hidden="1" outlineLevel="3" x14ac:dyDescent="0.25">
      <c r="A96" s="35" t="s">
        <v>187</v>
      </c>
      <c r="B96" s="36" t="s">
        <v>188</v>
      </c>
      <c r="C96" s="41">
        <f>C12-C98</f>
        <v>12</v>
      </c>
      <c r="D96" s="125">
        <f>D39*C96</f>
        <v>17856</v>
      </c>
    </row>
    <row r="97" spans="1:4" ht="15.75" hidden="1" outlineLevel="3" x14ac:dyDescent="0.25">
      <c r="A97" s="35" t="s">
        <v>189</v>
      </c>
      <c r="B97" s="36" t="s">
        <v>190</v>
      </c>
      <c r="C97" s="42">
        <f>C12/12</f>
        <v>1</v>
      </c>
      <c r="D97" s="125">
        <f>D39*C97</f>
        <v>1488</v>
      </c>
    </row>
    <row r="98" spans="1:4" ht="15.75" hidden="1" outlineLevel="3" x14ac:dyDescent="0.25">
      <c r="A98" s="35" t="s">
        <v>191</v>
      </c>
      <c r="B98" s="36" t="s">
        <v>192</v>
      </c>
      <c r="C98" s="40">
        <f>IF(C12&gt;60,5,IF(C12&gt;48,4,IF(C12&gt;36,3,IF(C12&gt;24,2,IF(C12&gt;12,1,0)))))</f>
        <v>0</v>
      </c>
      <c r="D98" s="126">
        <f>D39*C98*1.33333333333333</f>
        <v>0</v>
      </c>
    </row>
    <row r="99" spans="1:4" ht="15.75" hidden="1" outlineLevel="1" x14ac:dyDescent="0.25">
      <c r="A99" s="527" t="s">
        <v>11</v>
      </c>
      <c r="B99" s="528"/>
      <c r="C99" s="60">
        <f>'ASG - Superintendencia (Int)'!C99</f>
        <v>0.94450000000000001</v>
      </c>
      <c r="D99" s="109">
        <f>IF(C99&gt;1,D88+D93,(D88+D93)*C99)</f>
        <v>2385.09</v>
      </c>
    </row>
    <row r="100" spans="1:4" ht="15.75" hidden="1" outlineLevel="1" x14ac:dyDescent="0.25">
      <c r="A100" s="561"/>
      <c r="B100" s="562"/>
      <c r="C100" s="562"/>
      <c r="D100" s="563"/>
    </row>
    <row r="101" spans="1:4" ht="15.75" hidden="1" outlineLevel="1" x14ac:dyDescent="0.25">
      <c r="A101" s="166" t="s">
        <v>193</v>
      </c>
      <c r="B101" s="103" t="s">
        <v>194</v>
      </c>
      <c r="C101" s="104" t="s">
        <v>44</v>
      </c>
      <c r="D101" s="104" t="s">
        <v>35</v>
      </c>
    </row>
    <row r="102" spans="1:4" ht="15.75" hidden="1" outlineLevel="2" x14ac:dyDescent="0.25">
      <c r="A102" s="33" t="s">
        <v>36</v>
      </c>
      <c r="B102" s="39" t="s">
        <v>195</v>
      </c>
      <c r="C102" s="43">
        <f>IF(C111&gt;1,(1/30*7)*2,(1/30*7))</f>
        <v>0.23330000000000001</v>
      </c>
      <c r="D102" s="126">
        <f>C102*SUM(D103:D107)</f>
        <v>668.74</v>
      </c>
    </row>
    <row r="103" spans="1:4" ht="15.75" hidden="1" outlineLevel="3" x14ac:dyDescent="0.25">
      <c r="A103" s="35" t="s">
        <v>175</v>
      </c>
      <c r="B103" s="36" t="s">
        <v>196</v>
      </c>
      <c r="C103" s="33">
        <v>1</v>
      </c>
      <c r="D103" s="125">
        <f>D39</f>
        <v>1488</v>
      </c>
    </row>
    <row r="104" spans="1:4" ht="15.75" hidden="1" outlineLevel="3" x14ac:dyDescent="0.25">
      <c r="A104" s="35" t="s">
        <v>177</v>
      </c>
      <c r="B104" s="36" t="s">
        <v>197</v>
      </c>
      <c r="C104" s="27">
        <f>1/12</f>
        <v>8.3299999999999999E-2</v>
      </c>
      <c r="D104" s="125">
        <f>C104*D103</f>
        <v>123.95</v>
      </c>
    </row>
    <row r="105" spans="1:4" ht="15.75" hidden="1" outlineLevel="3" x14ac:dyDescent="0.25">
      <c r="A105" s="35" t="s">
        <v>179</v>
      </c>
      <c r="B105" s="36" t="s">
        <v>198</v>
      </c>
      <c r="C105" s="27">
        <f>(1/12)+(1/12/3)</f>
        <v>0.1111</v>
      </c>
      <c r="D105" s="125">
        <f>C105*D103</f>
        <v>165.32</v>
      </c>
    </row>
    <row r="106" spans="1:4" ht="15.75" hidden="1" outlineLevel="3" x14ac:dyDescent="0.25">
      <c r="A106" s="35" t="s">
        <v>181</v>
      </c>
      <c r="B106" s="44" t="s">
        <v>63</v>
      </c>
      <c r="C106" s="45">
        <f>C63</f>
        <v>0.36799999999999999</v>
      </c>
      <c r="D106" s="126">
        <f>C106*(D103+D104)</f>
        <v>593.20000000000005</v>
      </c>
    </row>
    <row r="107" spans="1:4" ht="15.75" hidden="1" outlineLevel="3" x14ac:dyDescent="0.25">
      <c r="A107" s="35" t="s">
        <v>199</v>
      </c>
      <c r="B107" s="44" t="s">
        <v>200</v>
      </c>
      <c r="C107" s="46">
        <v>1</v>
      </c>
      <c r="D107" s="126">
        <f>D77</f>
        <v>495.95</v>
      </c>
    </row>
    <row r="108" spans="1:4" ht="15.75" hidden="1" outlineLevel="2" x14ac:dyDescent="0.25">
      <c r="A108" s="33" t="s">
        <v>16</v>
      </c>
      <c r="B108" s="34" t="s">
        <v>201</v>
      </c>
      <c r="C108" s="38">
        <v>0.4</v>
      </c>
      <c r="D108" s="125">
        <f>C108*D109</f>
        <v>619.01</v>
      </c>
    </row>
    <row r="109" spans="1:4" ht="15.75" hidden="1" outlineLevel="2" x14ac:dyDescent="0.25">
      <c r="A109" s="33" t="s">
        <v>184</v>
      </c>
      <c r="B109" s="34" t="s">
        <v>185</v>
      </c>
      <c r="C109" s="38">
        <f>C62</f>
        <v>0.08</v>
      </c>
      <c r="D109" s="125">
        <f>C109*D110</f>
        <v>1547.52</v>
      </c>
    </row>
    <row r="110" spans="1:4" ht="15.75" hidden="1" outlineLevel="2" x14ac:dyDescent="0.25">
      <c r="A110" s="33" t="s">
        <v>186</v>
      </c>
      <c r="B110" s="39" t="s">
        <v>116</v>
      </c>
      <c r="C110" s="40" t="s">
        <v>150</v>
      </c>
      <c r="D110" s="126">
        <f>D95</f>
        <v>19344</v>
      </c>
    </row>
    <row r="111" spans="1:4" ht="15.75" hidden="1" outlineLevel="1" x14ac:dyDescent="0.25">
      <c r="A111" s="527" t="s">
        <v>11</v>
      </c>
      <c r="B111" s="528"/>
      <c r="C111" s="60">
        <f>'ASG - Superintendencia (Int)'!C111</f>
        <v>5.5500000000000001E-2</v>
      </c>
      <c r="D111" s="109">
        <f>IF(C111&gt;1,D102+D108,(D102+D108)*C111)</f>
        <v>71.47</v>
      </c>
    </row>
    <row r="112" spans="1:4" ht="15.75" hidden="1" outlineLevel="1" x14ac:dyDescent="0.25">
      <c r="A112" s="561"/>
      <c r="B112" s="562"/>
      <c r="C112" s="562"/>
      <c r="D112" s="563"/>
    </row>
    <row r="113" spans="1:4" ht="15.75" hidden="1" outlineLevel="1" x14ac:dyDescent="0.25">
      <c r="A113" s="166" t="s">
        <v>202</v>
      </c>
      <c r="B113" s="103" t="s">
        <v>203</v>
      </c>
      <c r="C113" s="104" t="s">
        <v>44</v>
      </c>
      <c r="D113" s="104" t="s">
        <v>35</v>
      </c>
    </row>
    <row r="114" spans="1:4" ht="15.75" hidden="1" outlineLevel="2" x14ac:dyDescent="0.25">
      <c r="A114" s="163" t="s">
        <v>36</v>
      </c>
      <c r="B114" s="29" t="s">
        <v>204</v>
      </c>
      <c r="C114" s="32">
        <f>IF(C12&gt;60,(D39/12*(C12-60))/C12/D39,IF(C12&gt;48,(D39/12*(C12-48))/C12/D39,IF(C12&gt;36,(D39/12*(C12-36))/C12/D39,IF(C12&gt;24,(D39/12*(C12-24))/C12/D39,IF(C12&gt;12,((D39/12*(C12-12))/C12/D39),1/12)))))</f>
        <v>8.3299999999999999E-2</v>
      </c>
      <c r="D114" s="127">
        <f>C114*D39</f>
        <v>123.95</v>
      </c>
    </row>
    <row r="115" spans="1:4" ht="15.75" hidden="1" outlineLevel="2" x14ac:dyDescent="0.25">
      <c r="A115" s="163" t="s">
        <v>16</v>
      </c>
      <c r="B115" s="47" t="s">
        <v>205</v>
      </c>
      <c r="C115" s="32">
        <f>C114/3</f>
        <v>2.7799999999999998E-2</v>
      </c>
      <c r="D115" s="128">
        <f>C115*D39</f>
        <v>41.37</v>
      </c>
    </row>
    <row r="116" spans="1:4" ht="15.75" hidden="1" outlineLevel="1" x14ac:dyDescent="0.25">
      <c r="A116" s="527" t="s">
        <v>11</v>
      </c>
      <c r="B116" s="528"/>
      <c r="C116" s="28">
        <f>C114+C115</f>
        <v>0.1111</v>
      </c>
      <c r="D116" s="109">
        <f>SUM(D114:D115)</f>
        <v>165.32</v>
      </c>
    </row>
    <row r="117" spans="1:4" ht="15.75" hidden="1" outlineLevel="1" x14ac:dyDescent="0.25">
      <c r="A117" s="561"/>
      <c r="B117" s="562"/>
      <c r="C117" s="562"/>
      <c r="D117" s="563"/>
    </row>
    <row r="118" spans="1:4" ht="15.75" hidden="1" outlineLevel="1" x14ac:dyDescent="0.25">
      <c r="A118" s="565" t="s">
        <v>206</v>
      </c>
      <c r="B118" s="566"/>
      <c r="C118" s="104" t="s">
        <v>44</v>
      </c>
      <c r="D118" s="104" t="s">
        <v>35</v>
      </c>
    </row>
    <row r="119" spans="1:4" ht="15.75" hidden="1" outlineLevel="1" x14ac:dyDescent="0.25">
      <c r="A119" s="163" t="s">
        <v>172</v>
      </c>
      <c r="B119" s="29" t="s">
        <v>173</v>
      </c>
      <c r="C119" s="32">
        <f>C99</f>
        <v>0.94450000000000001</v>
      </c>
      <c r="D119" s="98">
        <f>D99</f>
        <v>2385.09</v>
      </c>
    </row>
    <row r="120" spans="1:4" ht="15.75" hidden="1" outlineLevel="1" x14ac:dyDescent="0.25">
      <c r="A120" s="106" t="s">
        <v>193</v>
      </c>
      <c r="B120" s="29" t="s">
        <v>194</v>
      </c>
      <c r="C120" s="48">
        <f>C111</f>
        <v>5.5500000000000001E-2</v>
      </c>
      <c r="D120" s="98">
        <f>D111</f>
        <v>71.47</v>
      </c>
    </row>
    <row r="121" spans="1:4" ht="15.75" hidden="1" outlineLevel="1" x14ac:dyDescent="0.25">
      <c r="A121" s="571" t="s">
        <v>207</v>
      </c>
      <c r="B121" s="571"/>
      <c r="C121" s="571"/>
      <c r="D121" s="129">
        <f>D119+D120</f>
        <v>2456.56</v>
      </c>
    </row>
    <row r="122" spans="1:4" ht="15.75" hidden="1" outlineLevel="1" x14ac:dyDescent="0.25">
      <c r="A122" s="567" t="s">
        <v>208</v>
      </c>
      <c r="B122" s="568"/>
      <c r="C122" s="61">
        <f>'ASG - Superintendencia (Int)'!C122</f>
        <v>0.7</v>
      </c>
      <c r="D122" s="56">
        <f>C122*D121</f>
        <v>1719.59</v>
      </c>
    </row>
    <row r="123" spans="1:4" ht="15.75" hidden="1" outlineLevel="1" x14ac:dyDescent="0.25">
      <c r="A123" s="567" t="s">
        <v>209</v>
      </c>
      <c r="B123" s="568"/>
      <c r="C123" s="61">
        <f>'ASG - Superintendencia (Int)'!C123</f>
        <v>0.01</v>
      </c>
      <c r="D123" s="56">
        <f>(D50+(D116/2))*-C123</f>
        <v>-2.0699999999999998</v>
      </c>
    </row>
    <row r="124" spans="1:4" ht="15.75" hidden="1" outlineLevel="1" x14ac:dyDescent="0.25">
      <c r="A124" s="569" t="s">
        <v>210</v>
      </c>
      <c r="B124" s="570"/>
      <c r="C124" s="65">
        <f>1/C12</f>
        <v>8.3299999999999999E-2</v>
      </c>
      <c r="D124" s="57">
        <f>(D122+D123)*C124</f>
        <v>143.07</v>
      </c>
    </row>
    <row r="125" spans="1:4" ht="15.75" hidden="1" outlineLevel="1" x14ac:dyDescent="0.25">
      <c r="A125" s="106" t="s">
        <v>202</v>
      </c>
      <c r="B125" s="29" t="s">
        <v>211</v>
      </c>
      <c r="C125" s="48"/>
      <c r="D125" s="117">
        <f>D116</f>
        <v>165.32</v>
      </c>
    </row>
    <row r="126" spans="1:4" ht="15.75" collapsed="1" x14ac:dyDescent="0.25">
      <c r="A126" s="527" t="s">
        <v>11</v>
      </c>
      <c r="B126" s="528"/>
      <c r="C126" s="28"/>
      <c r="D126" s="130">
        <f>D124+D125</f>
        <v>308.39</v>
      </c>
    </row>
    <row r="127" spans="1:4" ht="15.75" x14ac:dyDescent="0.25">
      <c r="A127" s="529"/>
      <c r="B127" s="530"/>
      <c r="C127" s="530"/>
      <c r="D127" s="531"/>
    </row>
    <row r="128" spans="1:4" ht="15.75" x14ac:dyDescent="0.25">
      <c r="A128" s="532" t="s">
        <v>64</v>
      </c>
      <c r="B128" s="533"/>
      <c r="C128" s="533"/>
      <c r="D128" s="534"/>
    </row>
    <row r="129" spans="1:4" ht="15.75" hidden="1" outlineLevel="1" x14ac:dyDescent="0.25">
      <c r="A129" s="561"/>
      <c r="B129" s="562"/>
      <c r="C129" s="562"/>
      <c r="D129" s="563"/>
    </row>
    <row r="130" spans="1:4" ht="15.75" hidden="1" outlineLevel="1" x14ac:dyDescent="0.25">
      <c r="A130" s="104" t="s">
        <v>65</v>
      </c>
      <c r="B130" s="110" t="s">
        <v>212</v>
      </c>
      <c r="C130" s="28" t="s">
        <v>44</v>
      </c>
      <c r="D130" s="104" t="s">
        <v>35</v>
      </c>
    </row>
    <row r="131" spans="1:4" ht="15.75" hidden="1" outlineLevel="2" x14ac:dyDescent="0.25">
      <c r="A131" s="131" t="s">
        <v>36</v>
      </c>
      <c r="B131" s="82" t="s">
        <v>66</v>
      </c>
      <c r="C131" s="49">
        <f>IF(C12&gt;60,5/C12,IF(C12&gt;48,4/C12,IF(C12&gt;36,3/C12,IF(C12&gt;24,2/C12,IF(C12&gt;12,1/C12,0)))))</f>
        <v>0</v>
      </c>
      <c r="D131" s="127">
        <f>SUM(D132:D136)</f>
        <v>0</v>
      </c>
    </row>
    <row r="132" spans="1:4" ht="15.75" hidden="1" outlineLevel="3" x14ac:dyDescent="0.25">
      <c r="A132" s="132" t="s">
        <v>213</v>
      </c>
      <c r="B132" s="83" t="s">
        <v>214</v>
      </c>
      <c r="C132" s="133">
        <f>D39</f>
        <v>1488</v>
      </c>
      <c r="D132" s="134">
        <f>$C$131*(D39)-($C$131*(D39)*C137/3)</f>
        <v>0</v>
      </c>
    </row>
    <row r="133" spans="1:4" ht="15.75" hidden="1" outlineLevel="3" x14ac:dyDescent="0.25">
      <c r="A133" s="132" t="s">
        <v>215</v>
      </c>
      <c r="B133" s="83" t="s">
        <v>216</v>
      </c>
      <c r="C133" s="133">
        <f>(D50)</f>
        <v>123.95</v>
      </c>
      <c r="D133" s="134">
        <f>$C$131*C133-($C$131*C133*C137/3)</f>
        <v>0</v>
      </c>
    </row>
    <row r="134" spans="1:4" ht="15.75" hidden="1" outlineLevel="3" x14ac:dyDescent="0.25">
      <c r="A134" s="132" t="s">
        <v>217</v>
      </c>
      <c r="B134" s="83" t="s">
        <v>218</v>
      </c>
      <c r="C134" s="135">
        <f>(D39/12)+(D51*IF(C12&gt;60,((C12-60)*(1/60))+1,IF(C12&gt;48,((C12-48)*(1/48))+1,IF(C12&gt;36,((C12-36)*(1/36))+1,IF(C12&gt;24,((C12-24)*(1/24))+1,IF(C12&gt;12,((C12-12)*(1/12))+1,1))))))</f>
        <v>124</v>
      </c>
      <c r="D134" s="134">
        <f>$C$131*C134-($C$131*C134*C137/3)</f>
        <v>0</v>
      </c>
    </row>
    <row r="135" spans="1:4" ht="15.75" hidden="1" outlineLevel="3" x14ac:dyDescent="0.25">
      <c r="A135" s="132" t="s">
        <v>219</v>
      </c>
      <c r="B135" s="83" t="s">
        <v>220</v>
      </c>
      <c r="C135" s="84">
        <f>C63</f>
        <v>0.36799999999999999</v>
      </c>
      <c r="D135" s="134">
        <f>SUM(D132:D134)*C131</f>
        <v>0</v>
      </c>
    </row>
    <row r="136" spans="1:4" ht="15.75" hidden="1" outlineLevel="3" x14ac:dyDescent="0.25">
      <c r="A136" s="132" t="s">
        <v>221</v>
      </c>
      <c r="B136" s="83" t="s">
        <v>222</v>
      </c>
      <c r="C136" s="135">
        <f>D124</f>
        <v>143.07</v>
      </c>
      <c r="D136" s="134">
        <f>C136*C131</f>
        <v>0</v>
      </c>
    </row>
    <row r="137" spans="1:4" ht="15.75" hidden="1" outlineLevel="2" x14ac:dyDescent="0.25">
      <c r="A137" s="163" t="s">
        <v>16</v>
      </c>
      <c r="B137" s="29" t="s">
        <v>223</v>
      </c>
      <c r="C137" s="85">
        <v>0</v>
      </c>
      <c r="D137" s="117">
        <f>$C$131*(D39)*(C137/3)</f>
        <v>0</v>
      </c>
    </row>
    <row r="138" spans="1:4" ht="15.75" hidden="1" outlineLevel="1" x14ac:dyDescent="0.25">
      <c r="A138" s="527" t="s">
        <v>224</v>
      </c>
      <c r="B138" s="528"/>
      <c r="C138" s="28">
        <f>C131+(D137/D39)</f>
        <v>0</v>
      </c>
      <c r="D138" s="109">
        <f>SUM(D131:D137)</f>
        <v>0</v>
      </c>
    </row>
    <row r="139" spans="1:4" ht="15.75" hidden="1" outlineLevel="1" x14ac:dyDescent="0.25">
      <c r="A139" s="561"/>
      <c r="B139" s="562"/>
      <c r="C139" s="562"/>
      <c r="D139" s="563"/>
    </row>
    <row r="140" spans="1:4" ht="15.75" hidden="1" outlineLevel="2" x14ac:dyDescent="0.25">
      <c r="A140" s="574" t="s">
        <v>225</v>
      </c>
      <c r="B140" s="136" t="s">
        <v>188</v>
      </c>
      <c r="C140" s="86">
        <v>220</v>
      </c>
      <c r="D140" s="137">
        <f>D39</f>
        <v>1488</v>
      </c>
    </row>
    <row r="141" spans="1:4" ht="15.75" hidden="1" outlineLevel="2" x14ac:dyDescent="0.25">
      <c r="A141" s="575"/>
      <c r="B141" s="136" t="s">
        <v>226</v>
      </c>
      <c r="C141" s="49">
        <f>(1+(1/3)+1)/12</f>
        <v>0.19439999999999999</v>
      </c>
      <c r="D141" s="138">
        <f>D140*C141</f>
        <v>289.27</v>
      </c>
    </row>
    <row r="142" spans="1:4" ht="15.75" hidden="1" outlineLevel="2" x14ac:dyDescent="0.25">
      <c r="A142" s="575"/>
      <c r="B142" s="136" t="s">
        <v>227</v>
      </c>
      <c r="C142" s="49">
        <f>C63</f>
        <v>0.36799999999999999</v>
      </c>
      <c r="D142" s="138">
        <f>(D140+D141)*C142</f>
        <v>654.04</v>
      </c>
    </row>
    <row r="143" spans="1:4" ht="15.75" hidden="1" outlineLevel="2" x14ac:dyDescent="0.25">
      <c r="A143" s="575"/>
      <c r="B143" s="136" t="s">
        <v>228</v>
      </c>
      <c r="C143" s="49">
        <f>D143/D140</f>
        <v>0.33329999999999999</v>
      </c>
      <c r="D143" s="138">
        <f>D77</f>
        <v>495.95</v>
      </c>
    </row>
    <row r="144" spans="1:4" ht="15.75" hidden="1" outlineLevel="2" x14ac:dyDescent="0.25">
      <c r="A144" s="576"/>
      <c r="B144" s="139" t="s">
        <v>229</v>
      </c>
      <c r="C144" s="49">
        <f>D144/D140</f>
        <v>9.6100000000000005E-2</v>
      </c>
      <c r="D144" s="138">
        <f>D124</f>
        <v>143.07</v>
      </c>
    </row>
    <row r="145" spans="1:4" ht="15.75" hidden="1" outlineLevel="2" x14ac:dyDescent="0.25">
      <c r="A145" s="577" t="s">
        <v>230</v>
      </c>
      <c r="B145" s="578"/>
      <c r="C145" s="87">
        <f>D145/D140</f>
        <v>2.0634000000000001</v>
      </c>
      <c r="D145" s="140">
        <f>SUM(D140:D144)</f>
        <v>3070.33</v>
      </c>
    </row>
    <row r="146" spans="1:4" ht="15.75" hidden="1" outlineLevel="2" x14ac:dyDescent="0.25">
      <c r="A146" s="579"/>
      <c r="B146" s="579"/>
      <c r="C146" s="579"/>
      <c r="D146" s="580"/>
    </row>
    <row r="147" spans="1:4" ht="15.75" hidden="1" outlineLevel="1" x14ac:dyDescent="0.25">
      <c r="A147" s="104" t="s">
        <v>231</v>
      </c>
      <c r="B147" s="110" t="s">
        <v>232</v>
      </c>
      <c r="C147" s="28" t="s">
        <v>44</v>
      </c>
      <c r="D147" s="104" t="s">
        <v>35</v>
      </c>
    </row>
    <row r="148" spans="1:4" ht="15.75" hidden="1" outlineLevel="2" x14ac:dyDescent="0.25">
      <c r="A148" s="163" t="s">
        <v>16</v>
      </c>
      <c r="B148" s="29" t="s">
        <v>118</v>
      </c>
      <c r="C148" s="70">
        <f>5/252</f>
        <v>1.9800000000000002E-2</v>
      </c>
      <c r="D148" s="127">
        <f>C148*$D$145</f>
        <v>60.79</v>
      </c>
    </row>
    <row r="149" spans="1:4" ht="15.75" hidden="1" outlineLevel="2" x14ac:dyDescent="0.25">
      <c r="A149" s="163" t="s">
        <v>17</v>
      </c>
      <c r="B149" s="29" t="s">
        <v>119</v>
      </c>
      <c r="C149" s="70">
        <f>1.383/252</f>
        <v>5.4999999999999997E-3</v>
      </c>
      <c r="D149" s="127">
        <f>C149*$D$145</f>
        <v>16.89</v>
      </c>
    </row>
    <row r="150" spans="1:4" ht="15.75" hidden="1" outlineLevel="2" x14ac:dyDescent="0.25">
      <c r="A150" s="163" t="s">
        <v>19</v>
      </c>
      <c r="B150" s="29" t="s">
        <v>117</v>
      </c>
      <c r="C150" s="70">
        <f>1.3892/252</f>
        <v>5.4999999999999997E-3</v>
      </c>
      <c r="D150" s="127">
        <f t="shared" ref="D150:D153" si="1">C150*$D$145</f>
        <v>16.89</v>
      </c>
    </row>
    <row r="151" spans="1:4" ht="15.75" hidden="1" outlineLevel="2" x14ac:dyDescent="0.25">
      <c r="A151" s="163" t="s">
        <v>22</v>
      </c>
      <c r="B151" s="29" t="s">
        <v>67</v>
      </c>
      <c r="C151" s="70">
        <f>0.65/252</f>
        <v>2.5999999999999999E-3</v>
      </c>
      <c r="D151" s="127">
        <f t="shared" si="1"/>
        <v>7.98</v>
      </c>
    </row>
    <row r="152" spans="1:4" ht="15.75" hidden="1" outlineLevel="2" x14ac:dyDescent="0.25">
      <c r="A152" s="163" t="s">
        <v>24</v>
      </c>
      <c r="B152" s="29" t="s">
        <v>68</v>
      </c>
      <c r="C152" s="70">
        <f>0.5052/252</f>
        <v>2E-3</v>
      </c>
      <c r="D152" s="127">
        <f t="shared" si="1"/>
        <v>6.14</v>
      </c>
    </row>
    <row r="153" spans="1:4" ht="15.75" hidden="1" outlineLevel="2" x14ac:dyDescent="0.25">
      <c r="A153" s="163" t="s">
        <v>36</v>
      </c>
      <c r="B153" s="58" t="s">
        <v>233</v>
      </c>
      <c r="C153" s="62">
        <f>0.2/252</f>
        <v>8.0000000000000004E-4</v>
      </c>
      <c r="D153" s="127">
        <f t="shared" si="1"/>
        <v>2.46</v>
      </c>
    </row>
    <row r="154" spans="1:4" ht="15.75" hidden="1" outlineLevel="1" x14ac:dyDescent="0.25">
      <c r="A154" s="527" t="s">
        <v>224</v>
      </c>
      <c r="B154" s="528"/>
      <c r="C154" s="28">
        <f>SUM(C148:C153)</f>
        <v>3.6200000000000003E-2</v>
      </c>
      <c r="D154" s="109">
        <f>SUM(D148:D153)</f>
        <v>111.15</v>
      </c>
    </row>
    <row r="155" spans="1:4" ht="15.75" hidden="1" outlineLevel="1" x14ac:dyDescent="0.25">
      <c r="A155" s="561"/>
      <c r="B155" s="562"/>
      <c r="C155" s="562"/>
      <c r="D155" s="563"/>
    </row>
    <row r="156" spans="1:4" ht="15.75" hidden="1" outlineLevel="1" x14ac:dyDescent="0.25">
      <c r="A156" s="565" t="s">
        <v>234</v>
      </c>
      <c r="B156" s="572"/>
      <c r="C156" s="28" t="s">
        <v>235</v>
      </c>
      <c r="D156" s="104" t="s">
        <v>35</v>
      </c>
    </row>
    <row r="157" spans="1:4" ht="15.75" hidden="1" outlineLevel="2" x14ac:dyDescent="0.3">
      <c r="A157" s="573" t="s">
        <v>236</v>
      </c>
      <c r="B157" s="136" t="s">
        <v>237</v>
      </c>
      <c r="C157" s="88">
        <f>C153</f>
        <v>8.0000000000000004E-4</v>
      </c>
      <c r="D157" s="141">
        <f>C157*-D140</f>
        <v>-1.19</v>
      </c>
    </row>
    <row r="158" spans="1:4" ht="15.75" hidden="1" outlineLevel="2" x14ac:dyDescent="0.3">
      <c r="A158" s="573"/>
      <c r="B158" s="142" t="s">
        <v>238</v>
      </c>
      <c r="C158" s="89">
        <v>0</v>
      </c>
      <c r="D158" s="143">
        <f>C158*-(D140/220/24*5)</f>
        <v>0</v>
      </c>
    </row>
    <row r="159" spans="1:4" ht="15.75" hidden="1" outlineLevel="2" x14ac:dyDescent="0.3">
      <c r="A159" s="573"/>
      <c r="B159" s="142" t="s">
        <v>239</v>
      </c>
      <c r="C159" s="89">
        <v>0</v>
      </c>
      <c r="D159" s="143">
        <f>C159*-D141</f>
        <v>0</v>
      </c>
    </row>
    <row r="160" spans="1:4" ht="15.75" hidden="1" outlineLevel="2" x14ac:dyDescent="0.3">
      <c r="A160" s="573"/>
      <c r="B160" s="136" t="s">
        <v>240</v>
      </c>
      <c r="C160" s="88">
        <f>C154</f>
        <v>3.6200000000000003E-2</v>
      </c>
      <c r="D160" s="141">
        <f>C160*-D66</f>
        <v>-4.53</v>
      </c>
    </row>
    <row r="161" spans="1:4" ht="15.75" hidden="1" outlineLevel="2" x14ac:dyDescent="0.3">
      <c r="A161" s="573"/>
      <c r="B161" s="136" t="s">
        <v>241</v>
      </c>
      <c r="C161" s="90">
        <f>C154</f>
        <v>3.6200000000000003E-2</v>
      </c>
      <c r="D161" s="144">
        <f>C161*-D69</f>
        <v>-12.01</v>
      </c>
    </row>
    <row r="162" spans="1:4" ht="15.75" hidden="1" outlineLevel="2" x14ac:dyDescent="0.3">
      <c r="A162" s="573"/>
      <c r="B162" s="139" t="s">
        <v>242</v>
      </c>
      <c r="C162" s="90">
        <f>C153</f>
        <v>8.0000000000000004E-4</v>
      </c>
      <c r="D162" s="144">
        <f>C162*-D74</f>
        <v>-0.02</v>
      </c>
    </row>
    <row r="163" spans="1:4" ht="15.75" hidden="1" outlineLevel="2" x14ac:dyDescent="0.25">
      <c r="A163" s="573"/>
      <c r="B163" s="139" t="s">
        <v>243</v>
      </c>
      <c r="C163" s="91">
        <f>C152</f>
        <v>2E-3</v>
      </c>
      <c r="D163" s="145">
        <f>C163*-SUM(D55:D61)</f>
        <v>-0.93</v>
      </c>
    </row>
    <row r="164" spans="1:4" ht="15.75" hidden="1" outlineLevel="2" x14ac:dyDescent="0.3">
      <c r="A164" s="573"/>
      <c r="B164" s="136" t="s">
        <v>244</v>
      </c>
      <c r="C164" s="88">
        <f>C153</f>
        <v>8.0000000000000004E-4</v>
      </c>
      <c r="D164" s="141">
        <f>C164*-D142</f>
        <v>-0.52</v>
      </c>
    </row>
    <row r="165" spans="1:4" ht="15.75" hidden="1" outlineLevel="1" x14ac:dyDescent="0.25">
      <c r="A165" s="527" t="s">
        <v>245</v>
      </c>
      <c r="B165" s="528"/>
      <c r="C165" s="28">
        <f>D165/D140</f>
        <v>-1.29E-2</v>
      </c>
      <c r="D165" s="109">
        <f>SUM(D157:D164)</f>
        <v>-19.2</v>
      </c>
    </row>
    <row r="166" spans="1:4" ht="15.75" hidden="1" outlineLevel="1" x14ac:dyDescent="0.25">
      <c r="A166" s="561"/>
      <c r="B166" s="562"/>
      <c r="C166" s="562"/>
      <c r="D166" s="563"/>
    </row>
    <row r="167" spans="1:4" ht="15.75" hidden="1" outlineLevel="1" x14ac:dyDescent="0.25">
      <c r="A167" s="527" t="s">
        <v>246</v>
      </c>
      <c r="B167" s="528"/>
      <c r="C167" s="28">
        <f>D167/D140</f>
        <v>6.1800000000000001E-2</v>
      </c>
      <c r="D167" s="109">
        <f>D154+D165</f>
        <v>91.95</v>
      </c>
    </row>
    <row r="168" spans="1:4" ht="15.75" hidden="1" outlineLevel="1" x14ac:dyDescent="0.25">
      <c r="A168" s="561"/>
      <c r="B168" s="562"/>
      <c r="C168" s="562"/>
      <c r="D168" s="563"/>
    </row>
    <row r="169" spans="1:4" ht="15.75" hidden="1" outlineLevel="1" x14ac:dyDescent="0.25">
      <c r="A169" s="565" t="s">
        <v>247</v>
      </c>
      <c r="B169" s="566"/>
      <c r="C169" s="104" t="s">
        <v>44</v>
      </c>
      <c r="D169" s="104" t="s">
        <v>35</v>
      </c>
    </row>
    <row r="170" spans="1:4" ht="15.75" hidden="1" outlineLevel="1" x14ac:dyDescent="0.25">
      <c r="A170" s="163" t="s">
        <v>65</v>
      </c>
      <c r="B170" s="29" t="s">
        <v>212</v>
      </c>
      <c r="C170" s="32"/>
      <c r="D170" s="146">
        <f>D138</f>
        <v>0</v>
      </c>
    </row>
    <row r="171" spans="1:4" ht="15.75" hidden="1" outlineLevel="1" x14ac:dyDescent="0.25">
      <c r="A171" s="163" t="s">
        <v>231</v>
      </c>
      <c r="B171" s="29" t="s">
        <v>232</v>
      </c>
      <c r="C171" s="32"/>
      <c r="D171" s="146">
        <f>D167</f>
        <v>91.95</v>
      </c>
    </row>
    <row r="172" spans="1:4" ht="15.75" collapsed="1" x14ac:dyDescent="0.25">
      <c r="A172" s="527" t="s">
        <v>11</v>
      </c>
      <c r="B172" s="564"/>
      <c r="C172" s="528"/>
      <c r="D172" s="147">
        <f>SUM(D170:D171)</f>
        <v>91.95</v>
      </c>
    </row>
    <row r="173" spans="1:4" ht="15.75" x14ac:dyDescent="0.25">
      <c r="A173" s="561"/>
      <c r="B173" s="562"/>
      <c r="C173" s="562"/>
      <c r="D173" s="563"/>
    </row>
    <row r="174" spans="1:4" ht="15.75" x14ac:dyDescent="0.25">
      <c r="A174" s="532" t="s">
        <v>69</v>
      </c>
      <c r="B174" s="533"/>
      <c r="C174" s="533"/>
      <c r="D174" s="534"/>
    </row>
    <row r="175" spans="1:4" ht="15.75" hidden="1" outlineLevel="1" x14ac:dyDescent="0.25">
      <c r="A175" s="561"/>
      <c r="B175" s="562"/>
      <c r="C175" s="562"/>
      <c r="D175" s="563"/>
    </row>
    <row r="176" spans="1:4" ht="15.75" hidden="1" outlineLevel="1" x14ac:dyDescent="0.25">
      <c r="A176" s="166">
        <v>5</v>
      </c>
      <c r="B176" s="527" t="s">
        <v>248</v>
      </c>
      <c r="C176" s="528"/>
      <c r="D176" s="104" t="s">
        <v>35</v>
      </c>
    </row>
    <row r="177" spans="1:4" ht="15.75" hidden="1" outlineLevel="1" x14ac:dyDescent="0.25">
      <c r="A177" s="174" t="s">
        <v>36</v>
      </c>
      <c r="B177" s="581" t="s">
        <v>324</v>
      </c>
      <c r="C177" s="582"/>
      <c r="D177" s="127">
        <f>INSUMOS!H12</f>
        <v>25.07</v>
      </c>
    </row>
    <row r="178" spans="1:4" ht="15.75" hidden="1" outlineLevel="1" x14ac:dyDescent="0.25">
      <c r="A178" s="174" t="s">
        <v>16</v>
      </c>
      <c r="B178" s="581" t="s">
        <v>341</v>
      </c>
      <c r="C178" s="582"/>
      <c r="D178" s="148">
        <f>INSUMOS!H23</f>
        <v>89.51</v>
      </c>
    </row>
    <row r="179" spans="1:4" ht="15.75" hidden="1" outlineLevel="1" x14ac:dyDescent="0.25">
      <c r="A179" s="174" t="s">
        <v>17</v>
      </c>
      <c r="B179" s="513" t="s">
        <v>315</v>
      </c>
      <c r="C179" s="514"/>
      <c r="D179" s="148">
        <f>MATERIAIS!G109</f>
        <v>1669.51</v>
      </c>
    </row>
    <row r="180" spans="1:4" ht="15.75" hidden="1" outlineLevel="1" x14ac:dyDescent="0.25">
      <c r="A180" s="174" t="s">
        <v>19</v>
      </c>
      <c r="B180" s="513" t="s">
        <v>314</v>
      </c>
      <c r="C180" s="514"/>
      <c r="D180" s="148">
        <f>EQUIPAMENTOS!H111</f>
        <v>134.79</v>
      </c>
    </row>
    <row r="181" spans="1:4" ht="15.75" hidden="1" outlineLevel="1" x14ac:dyDescent="0.25">
      <c r="A181" s="174" t="s">
        <v>22</v>
      </c>
      <c r="B181" s="515" t="s">
        <v>39</v>
      </c>
      <c r="C181" s="516"/>
      <c r="D181" s="124">
        <v>0</v>
      </c>
    </row>
    <row r="182" spans="1:4" ht="15.75" hidden="1" outlineLevel="1" x14ac:dyDescent="0.25">
      <c r="A182" s="174" t="s">
        <v>24</v>
      </c>
      <c r="B182" s="515" t="s">
        <v>39</v>
      </c>
      <c r="C182" s="516"/>
      <c r="D182" s="124">
        <v>0</v>
      </c>
    </row>
    <row r="183" spans="1:4" ht="15.75" collapsed="1" x14ac:dyDescent="0.25">
      <c r="A183" s="527" t="s">
        <v>11</v>
      </c>
      <c r="B183" s="564"/>
      <c r="C183" s="528"/>
      <c r="D183" s="149">
        <f>SUM(D177:D181)</f>
        <v>1918.88</v>
      </c>
    </row>
    <row r="184" spans="1:4" ht="15.75" x14ac:dyDescent="0.25">
      <c r="A184" s="529"/>
      <c r="B184" s="530"/>
      <c r="C184" s="530"/>
      <c r="D184" s="531"/>
    </row>
    <row r="185" spans="1:4" ht="15.75" x14ac:dyDescent="0.25">
      <c r="A185" s="587" t="s">
        <v>70</v>
      </c>
      <c r="B185" s="587"/>
      <c r="C185" s="587"/>
      <c r="D185" s="150">
        <f>D39+D83+D126+D172+D183</f>
        <v>5020.32</v>
      </c>
    </row>
    <row r="186" spans="1:4" ht="15.75" x14ac:dyDescent="0.25">
      <c r="A186" s="543"/>
      <c r="B186" s="543"/>
      <c r="C186" s="543"/>
      <c r="D186" s="543"/>
    </row>
    <row r="187" spans="1:4" ht="15.75" x14ac:dyDescent="0.25">
      <c r="A187" s="588" t="s">
        <v>71</v>
      </c>
      <c r="B187" s="588"/>
      <c r="C187" s="588"/>
      <c r="D187" s="588"/>
    </row>
    <row r="188" spans="1:4" ht="15.75" hidden="1" outlineLevel="1" x14ac:dyDescent="0.25">
      <c r="A188" s="589"/>
      <c r="B188" s="590"/>
      <c r="C188" s="590"/>
      <c r="D188" s="591"/>
    </row>
    <row r="189" spans="1:4" ht="15.75" hidden="1" outlineLevel="1" x14ac:dyDescent="0.25">
      <c r="A189" s="166">
        <v>6</v>
      </c>
      <c r="B189" s="110" t="s">
        <v>72</v>
      </c>
      <c r="C189" s="104" t="s">
        <v>44</v>
      </c>
      <c r="D189" s="104" t="s">
        <v>35</v>
      </c>
    </row>
    <row r="190" spans="1:4" ht="15.75" hidden="1" outlineLevel="1" x14ac:dyDescent="0.25">
      <c r="A190" s="163" t="s">
        <v>36</v>
      </c>
      <c r="B190" s="29" t="s">
        <v>73</v>
      </c>
      <c r="C190" s="63">
        <f>'ASG - Superintendencia (Int)'!C190</f>
        <v>0.05</v>
      </c>
      <c r="D190" s="99">
        <f>C190*D185</f>
        <v>251.02</v>
      </c>
    </row>
    <row r="191" spans="1:4" ht="15.75" hidden="1" outlineLevel="1" x14ac:dyDescent="0.25">
      <c r="A191" s="583" t="s">
        <v>1</v>
      </c>
      <c r="B191" s="584"/>
      <c r="C191" s="586"/>
      <c r="D191" s="99">
        <f>D185+D190</f>
        <v>5271.34</v>
      </c>
    </row>
    <row r="192" spans="1:4" ht="15.75" hidden="1" outlineLevel="1" x14ac:dyDescent="0.25">
      <c r="A192" s="163" t="s">
        <v>16</v>
      </c>
      <c r="B192" s="29" t="s">
        <v>74</v>
      </c>
      <c r="C192" s="63">
        <f>'ASG - Superintendencia (Int)'!C192</f>
        <v>0.05</v>
      </c>
      <c r="D192" s="99">
        <f>C192*D191</f>
        <v>263.57</v>
      </c>
    </row>
    <row r="193" spans="1:4" ht="15.75" hidden="1" outlineLevel="1" x14ac:dyDescent="0.25">
      <c r="A193" s="583" t="s">
        <v>1</v>
      </c>
      <c r="B193" s="584"/>
      <c r="C193" s="584"/>
      <c r="D193" s="99">
        <f>D192+D191</f>
        <v>5534.91</v>
      </c>
    </row>
    <row r="194" spans="1:4" ht="15.75" hidden="1" outlineLevel="1" x14ac:dyDescent="0.25">
      <c r="A194" s="163" t="s">
        <v>17</v>
      </c>
      <c r="B194" s="513" t="s">
        <v>75</v>
      </c>
      <c r="C194" s="585"/>
      <c r="D194" s="514"/>
    </row>
    <row r="195" spans="1:4" ht="15.75" hidden="1" outlineLevel="1" x14ac:dyDescent="0.25">
      <c r="A195" s="151"/>
      <c r="B195" s="164" t="s">
        <v>76</v>
      </c>
      <c r="C195" s="63">
        <v>6.4999999999999997E-3</v>
      </c>
      <c r="D195" s="99">
        <f>(D193/(1-C198)*C195)</f>
        <v>38.130000000000003</v>
      </c>
    </row>
    <row r="196" spans="1:4" ht="15.75" hidden="1" outlineLevel="1" x14ac:dyDescent="0.25">
      <c r="A196" s="151"/>
      <c r="B196" s="164" t="s">
        <v>77</v>
      </c>
      <c r="C196" s="63">
        <v>0.03</v>
      </c>
      <c r="D196" s="99">
        <f>(D193/(1-C198)*C196)</f>
        <v>175.99</v>
      </c>
    </row>
    <row r="197" spans="1:4" ht="15.75" hidden="1" outlineLevel="1" x14ac:dyDescent="0.25">
      <c r="A197" s="151"/>
      <c r="B197" s="164" t="s">
        <v>443</v>
      </c>
      <c r="C197" s="50">
        <v>0.02</v>
      </c>
      <c r="D197" s="99">
        <f>(D193/(1-C198)*C197)</f>
        <v>117.33</v>
      </c>
    </row>
    <row r="198" spans="1:4" ht="15.75" hidden="1" outlineLevel="1" x14ac:dyDescent="0.25">
      <c r="A198" s="583" t="s">
        <v>78</v>
      </c>
      <c r="B198" s="586"/>
      <c r="C198" s="51">
        <f>SUM(C195:C197)</f>
        <v>5.6500000000000002E-2</v>
      </c>
      <c r="D198" s="99">
        <f>SUM(D195:D197)</f>
        <v>331.45</v>
      </c>
    </row>
    <row r="199" spans="1:4" ht="15.75" collapsed="1" x14ac:dyDescent="0.25">
      <c r="A199" s="527" t="s">
        <v>11</v>
      </c>
      <c r="B199" s="528"/>
      <c r="C199" s="52">
        <f>(1+C190)*(1+C192)*(1/(1-C198))-1</f>
        <v>0.16850000000000001</v>
      </c>
      <c r="D199" s="102">
        <f>SUM(D198+D190+D192)</f>
        <v>846.04</v>
      </c>
    </row>
    <row r="200" spans="1:4" ht="15.75" x14ac:dyDescent="0.25">
      <c r="A200" s="529"/>
      <c r="B200" s="530"/>
      <c r="C200" s="530"/>
      <c r="D200" s="531"/>
    </row>
    <row r="201" spans="1:4" ht="15.75" x14ac:dyDescent="0.25">
      <c r="A201" s="540" t="s">
        <v>79</v>
      </c>
      <c r="B201" s="542"/>
      <c r="C201" s="541"/>
      <c r="D201" s="53" t="s">
        <v>35</v>
      </c>
    </row>
    <row r="202" spans="1:4" ht="15.75" x14ac:dyDescent="0.25">
      <c r="A202" s="525" t="s">
        <v>80</v>
      </c>
      <c r="B202" s="595"/>
      <c r="C202" s="595"/>
      <c r="D202" s="526"/>
    </row>
    <row r="203" spans="1:4" ht="15.75" x14ac:dyDescent="0.25">
      <c r="A203" s="165" t="s">
        <v>36</v>
      </c>
      <c r="B203" s="525" t="s">
        <v>81</v>
      </c>
      <c r="C203" s="526"/>
      <c r="D203" s="98">
        <f>D39</f>
        <v>1488</v>
      </c>
    </row>
    <row r="204" spans="1:4" ht="15.75" x14ac:dyDescent="0.25">
      <c r="A204" s="165" t="s">
        <v>16</v>
      </c>
      <c r="B204" s="525" t="s">
        <v>82</v>
      </c>
      <c r="C204" s="526"/>
      <c r="D204" s="98">
        <f>D83</f>
        <v>1213.0999999999999</v>
      </c>
    </row>
    <row r="205" spans="1:4" ht="15.75" x14ac:dyDescent="0.25">
      <c r="A205" s="165" t="s">
        <v>17</v>
      </c>
      <c r="B205" s="525" t="s">
        <v>83</v>
      </c>
      <c r="C205" s="526"/>
      <c r="D205" s="98">
        <f>D126</f>
        <v>308.39</v>
      </c>
    </row>
    <row r="206" spans="1:4" ht="15.75" x14ac:dyDescent="0.25">
      <c r="A206" s="165" t="s">
        <v>19</v>
      </c>
      <c r="B206" s="525" t="s">
        <v>84</v>
      </c>
      <c r="C206" s="526"/>
      <c r="D206" s="98">
        <f>D172</f>
        <v>91.95</v>
      </c>
    </row>
    <row r="207" spans="1:4" ht="15.75" x14ac:dyDescent="0.25">
      <c r="A207" s="165" t="s">
        <v>22</v>
      </c>
      <c r="B207" s="525" t="s">
        <v>85</v>
      </c>
      <c r="C207" s="526"/>
      <c r="D207" s="98">
        <f>D183</f>
        <v>1918.88</v>
      </c>
    </row>
    <row r="208" spans="1:4" ht="15.75" x14ac:dyDescent="0.3">
      <c r="A208" s="592" t="s">
        <v>86</v>
      </c>
      <c r="B208" s="593"/>
      <c r="C208" s="594"/>
      <c r="D208" s="98">
        <f>SUM(D203:D207)</f>
        <v>5020.32</v>
      </c>
    </row>
    <row r="209" spans="1:4" ht="15.75" x14ac:dyDescent="0.25">
      <c r="A209" s="165" t="s">
        <v>87</v>
      </c>
      <c r="B209" s="525" t="s">
        <v>88</v>
      </c>
      <c r="C209" s="526"/>
      <c r="D209" s="98">
        <f>D199</f>
        <v>846.04</v>
      </c>
    </row>
    <row r="210" spans="1:4" ht="15.75" x14ac:dyDescent="0.25">
      <c r="A210" s="540" t="s">
        <v>89</v>
      </c>
      <c r="B210" s="542"/>
      <c r="C210" s="541"/>
      <c r="D210" s="152">
        <f xml:space="preserve"> D208+D209</f>
        <v>5866.36</v>
      </c>
    </row>
    <row r="211" spans="1:4" ht="15.75" x14ac:dyDescent="0.3">
      <c r="A211" s="22"/>
      <c r="B211" s="22"/>
      <c r="C211" s="22"/>
      <c r="D211" s="22"/>
    </row>
    <row r="212" spans="1:4" ht="15.75" thickBot="1" x14ac:dyDescent="0.3">
      <c r="A212" s="17"/>
      <c r="B212" s="17"/>
      <c r="C212" s="17"/>
      <c r="D212" s="17"/>
    </row>
    <row r="213" spans="1:4" ht="15.75" x14ac:dyDescent="0.25">
      <c r="A213" s="510" t="s">
        <v>274</v>
      </c>
      <c r="B213" s="511"/>
      <c r="C213" s="511"/>
      <c r="D213" s="512"/>
    </row>
    <row r="214" spans="1:4" ht="31.5" x14ac:dyDescent="0.25">
      <c r="A214" s="175" t="s">
        <v>275</v>
      </c>
      <c r="B214" s="176" t="s">
        <v>278</v>
      </c>
      <c r="C214" s="177" t="s">
        <v>276</v>
      </c>
      <c r="D214" s="178" t="s">
        <v>277</v>
      </c>
    </row>
    <row r="215" spans="1:4" ht="16.5" thickBot="1" x14ac:dyDescent="0.3">
      <c r="A215" s="179">
        <v>1</v>
      </c>
      <c r="B215" s="181">
        <f>1/(C11/A215)</f>
        <v>1.3856172924999999E-3</v>
      </c>
      <c r="C215" s="180">
        <f>D210</f>
        <v>5866.36</v>
      </c>
      <c r="D215" s="182">
        <f>C215*B215</f>
        <v>8.1285298600000004</v>
      </c>
    </row>
  </sheetData>
  <mergeCells count="108">
    <mergeCell ref="A208:C208"/>
    <mergeCell ref="B209:C209"/>
    <mergeCell ref="A210:C210"/>
    <mergeCell ref="A202:D202"/>
    <mergeCell ref="B203:C203"/>
    <mergeCell ref="B204:C204"/>
    <mergeCell ref="B205:C205"/>
    <mergeCell ref="B206:C206"/>
    <mergeCell ref="B207:C207"/>
    <mergeCell ref="A193:C193"/>
    <mergeCell ref="B194:D194"/>
    <mergeCell ref="A198:B198"/>
    <mergeCell ref="A199:B199"/>
    <mergeCell ref="A200:D200"/>
    <mergeCell ref="A201:C201"/>
    <mergeCell ref="A184:D184"/>
    <mergeCell ref="A185:C185"/>
    <mergeCell ref="A186:D186"/>
    <mergeCell ref="A187:D187"/>
    <mergeCell ref="A188:D188"/>
    <mergeCell ref="A191:C191"/>
    <mergeCell ref="B176:C176"/>
    <mergeCell ref="B177:C177"/>
    <mergeCell ref="B178:C178"/>
    <mergeCell ref="B179:C179"/>
    <mergeCell ref="B182:C182"/>
    <mergeCell ref="A183:C183"/>
    <mergeCell ref="A168:D168"/>
    <mergeCell ref="A169:B169"/>
    <mergeCell ref="A172:C172"/>
    <mergeCell ref="A173:D173"/>
    <mergeCell ref="A174:D174"/>
    <mergeCell ref="A175:D175"/>
    <mergeCell ref="A155:D155"/>
    <mergeCell ref="A156:B156"/>
    <mergeCell ref="A157:A164"/>
    <mergeCell ref="A165:B165"/>
    <mergeCell ref="A166:D166"/>
    <mergeCell ref="A167:B167"/>
    <mergeCell ref="A138:B138"/>
    <mergeCell ref="A139:D139"/>
    <mergeCell ref="A140:A144"/>
    <mergeCell ref="A145:B145"/>
    <mergeCell ref="A146:D146"/>
    <mergeCell ref="A154:B154"/>
    <mergeCell ref="A123:B123"/>
    <mergeCell ref="A124:B124"/>
    <mergeCell ref="A126:B126"/>
    <mergeCell ref="A127:D127"/>
    <mergeCell ref="A128:D128"/>
    <mergeCell ref="A129:D129"/>
    <mergeCell ref="A112:D112"/>
    <mergeCell ref="A116:B116"/>
    <mergeCell ref="A117:D117"/>
    <mergeCell ref="A118:B118"/>
    <mergeCell ref="A121:C121"/>
    <mergeCell ref="A122:B122"/>
    <mergeCell ref="A84:D84"/>
    <mergeCell ref="A85:D85"/>
    <mergeCell ref="A86:D86"/>
    <mergeCell ref="A99:B99"/>
    <mergeCell ref="A100:D100"/>
    <mergeCell ref="A111:B111"/>
    <mergeCell ref="A63:B63"/>
    <mergeCell ref="A64:D64"/>
    <mergeCell ref="A77:C77"/>
    <mergeCell ref="A78:D78"/>
    <mergeCell ref="A79:B79"/>
    <mergeCell ref="A83:C83"/>
    <mergeCell ref="A1:D1"/>
    <mergeCell ref="A2:B2"/>
    <mergeCell ref="C2:D2"/>
    <mergeCell ref="A3:B3"/>
    <mergeCell ref="C3:D3"/>
    <mergeCell ref="A4:D4"/>
    <mergeCell ref="C17:D17"/>
    <mergeCell ref="A18:D18"/>
    <mergeCell ref="B19:C19"/>
    <mergeCell ref="C11:D11"/>
    <mergeCell ref="C12:D12"/>
    <mergeCell ref="A13:D13"/>
    <mergeCell ref="A14:D14"/>
    <mergeCell ref="A15:D15"/>
    <mergeCell ref="C16:D16"/>
    <mergeCell ref="A213:D213"/>
    <mergeCell ref="B180:C180"/>
    <mergeCell ref="B181:C181"/>
    <mergeCell ref="A5:D5"/>
    <mergeCell ref="C6:D6"/>
    <mergeCell ref="C7:D7"/>
    <mergeCell ref="C8:D8"/>
    <mergeCell ref="C9:D9"/>
    <mergeCell ref="C10:D10"/>
    <mergeCell ref="B20:C20"/>
    <mergeCell ref="B21:C21"/>
    <mergeCell ref="B22:C22"/>
    <mergeCell ref="A45:B45"/>
    <mergeCell ref="A46:D46"/>
    <mergeCell ref="A47:D47"/>
    <mergeCell ref="A48:D48"/>
    <mergeCell ref="A52:B52"/>
    <mergeCell ref="A53:D53"/>
    <mergeCell ref="A23:D23"/>
    <mergeCell ref="A24:D24"/>
    <mergeCell ref="A25:D25"/>
    <mergeCell ref="B26:C26"/>
    <mergeCell ref="A39:C39"/>
    <mergeCell ref="A40:D40"/>
  </mergeCells>
  <pageMargins left="0.51181102362204722" right="0.51181102362204722" top="0.78740157480314965" bottom="0.78740157480314965" header="0.31496062992125984" footer="0.31496062992125984"/>
  <pageSetup scale="68"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1C835-985C-4B2E-BDBA-4AC6CDEDC78C}">
  <sheetPr codeName="Planilha14">
    <pageSetUpPr fitToPage="1"/>
  </sheetPr>
  <dimension ref="A1:D215"/>
  <sheetViews>
    <sheetView view="pageBreakPreview" topLeftCell="A47" zoomScale="85" zoomScaleNormal="85" zoomScaleSheetLayoutView="85" workbookViewId="0">
      <selection activeCell="A84" sqref="A84:D84"/>
    </sheetView>
  </sheetViews>
  <sheetFormatPr defaultColWidth="9.140625" defaultRowHeight="15" customHeight="1" outlineLevelRow="3" x14ac:dyDescent="0.25"/>
  <cols>
    <col min="1" max="1" width="16.7109375" style="19" customWidth="1"/>
    <col min="2" max="2" width="76.85546875" style="19" customWidth="1"/>
    <col min="3" max="3" width="22.85546875" style="19" customWidth="1"/>
    <col min="4" max="4" width="23.5703125" style="19" customWidth="1"/>
    <col min="5" max="16384" width="9.140625" style="19"/>
  </cols>
  <sheetData>
    <row r="1" spans="1:4" ht="15.75" x14ac:dyDescent="0.25">
      <c r="A1" s="544" t="s">
        <v>6</v>
      </c>
      <c r="B1" s="544"/>
      <c r="C1" s="544"/>
      <c r="D1" s="544"/>
    </row>
    <row r="2" spans="1:4" ht="15.75" x14ac:dyDescent="0.25">
      <c r="A2" s="545" t="s">
        <v>12</v>
      </c>
      <c r="B2" s="545"/>
      <c r="C2" s="546"/>
      <c r="D2" s="547"/>
    </row>
    <row r="3" spans="1:4" ht="15.75" x14ac:dyDescent="0.25">
      <c r="A3" s="545" t="s">
        <v>13</v>
      </c>
      <c r="B3" s="545"/>
      <c r="C3" s="546" t="s">
        <v>448</v>
      </c>
      <c r="D3" s="547"/>
    </row>
    <row r="4" spans="1:4" ht="15.75" x14ac:dyDescent="0.25">
      <c r="A4" s="517"/>
      <c r="B4" s="517"/>
      <c r="C4" s="517"/>
      <c r="D4" s="517"/>
    </row>
    <row r="5" spans="1:4" ht="15.75" x14ac:dyDescent="0.25">
      <c r="A5" s="517" t="s">
        <v>14</v>
      </c>
      <c r="B5" s="517"/>
      <c r="C5" s="517"/>
      <c r="D5" s="517"/>
    </row>
    <row r="6" spans="1:4" ht="15.75" x14ac:dyDescent="0.25">
      <c r="A6" s="171" t="s">
        <v>15</v>
      </c>
      <c r="B6" s="172" t="s">
        <v>5</v>
      </c>
      <c r="C6" s="518" t="s">
        <v>143</v>
      </c>
      <c r="D6" s="596"/>
    </row>
    <row r="7" spans="1:4" ht="15.75" x14ac:dyDescent="0.25">
      <c r="A7" s="171" t="s">
        <v>16</v>
      </c>
      <c r="B7" s="172" t="s">
        <v>4</v>
      </c>
      <c r="C7" s="520" t="s">
        <v>437</v>
      </c>
      <c r="D7" s="520"/>
    </row>
    <row r="8" spans="1:4" ht="15.75" x14ac:dyDescent="0.25">
      <c r="A8" s="23" t="s">
        <v>17</v>
      </c>
      <c r="B8" s="24" t="s">
        <v>18</v>
      </c>
      <c r="C8" s="521" t="s">
        <v>435</v>
      </c>
      <c r="D8" s="522"/>
    </row>
    <row r="9" spans="1:4" ht="15.75" x14ac:dyDescent="0.25">
      <c r="A9" s="171" t="s">
        <v>19</v>
      </c>
      <c r="B9" s="172" t="s">
        <v>20</v>
      </c>
      <c r="C9" s="523" t="s">
        <v>21</v>
      </c>
      <c r="D9" s="524"/>
    </row>
    <row r="10" spans="1:4" ht="15.75" x14ac:dyDescent="0.25">
      <c r="A10" s="171" t="s">
        <v>22</v>
      </c>
      <c r="B10" s="172" t="s">
        <v>23</v>
      </c>
      <c r="C10" s="523" t="s">
        <v>429</v>
      </c>
      <c r="D10" s="524"/>
    </row>
    <row r="11" spans="1:4" ht="15.75" x14ac:dyDescent="0.25">
      <c r="A11" s="171" t="s">
        <v>24</v>
      </c>
      <c r="B11" s="172" t="s">
        <v>249</v>
      </c>
      <c r="C11" s="550">
        <f>Resumo!F8</f>
        <v>721.7</v>
      </c>
      <c r="D11" s="551"/>
    </row>
    <row r="12" spans="1:4" ht="15.75" x14ac:dyDescent="0.25">
      <c r="A12" s="171" t="s">
        <v>25</v>
      </c>
      <c r="B12" s="172" t="s">
        <v>26</v>
      </c>
      <c r="C12" s="552">
        <f>Resumo!I5</f>
        <v>12</v>
      </c>
      <c r="D12" s="539"/>
    </row>
    <row r="13" spans="1:4" ht="15.75" x14ac:dyDescent="0.25">
      <c r="A13" s="553"/>
      <c r="B13" s="554"/>
      <c r="C13" s="554"/>
      <c r="D13" s="554"/>
    </row>
    <row r="14" spans="1:4" ht="15.75" x14ac:dyDescent="0.25">
      <c r="A14" s="555" t="s">
        <v>27</v>
      </c>
      <c r="B14" s="556"/>
      <c r="C14" s="556"/>
      <c r="D14" s="557"/>
    </row>
    <row r="15" spans="1:4" ht="15.75" x14ac:dyDescent="0.25">
      <c r="A15" s="520" t="s">
        <v>28</v>
      </c>
      <c r="B15" s="520"/>
      <c r="C15" s="520"/>
      <c r="D15" s="520"/>
    </row>
    <row r="16" spans="1:4" ht="15.75" x14ac:dyDescent="0.25">
      <c r="A16" s="171">
        <v>1</v>
      </c>
      <c r="B16" s="172" t="s">
        <v>29</v>
      </c>
      <c r="C16" s="523" t="s">
        <v>271</v>
      </c>
      <c r="D16" s="524" t="s">
        <v>0</v>
      </c>
    </row>
    <row r="17" spans="1:4" ht="15.75" x14ac:dyDescent="0.25">
      <c r="A17" s="171">
        <v>2</v>
      </c>
      <c r="B17" s="25" t="s">
        <v>30</v>
      </c>
      <c r="C17" s="548" t="s">
        <v>270</v>
      </c>
      <c r="D17" s="549"/>
    </row>
    <row r="18" spans="1:4" ht="15.75" x14ac:dyDescent="0.25">
      <c r="A18" s="520" t="s">
        <v>31</v>
      </c>
      <c r="B18" s="520"/>
      <c r="C18" s="520"/>
      <c r="D18" s="520"/>
    </row>
    <row r="19" spans="1:4" ht="15.75" x14ac:dyDescent="0.3">
      <c r="A19" s="171">
        <v>3</v>
      </c>
      <c r="B19" s="525" t="s">
        <v>3</v>
      </c>
      <c r="C19" s="526"/>
      <c r="D19" s="97">
        <v>1240</v>
      </c>
    </row>
    <row r="20" spans="1:4" ht="15.75" x14ac:dyDescent="0.3">
      <c r="A20" s="171">
        <v>4</v>
      </c>
      <c r="B20" s="525" t="s">
        <v>250</v>
      </c>
      <c r="C20" s="526"/>
      <c r="D20" s="153">
        <v>220</v>
      </c>
    </row>
    <row r="21" spans="1:4" ht="15.75" x14ac:dyDescent="0.25">
      <c r="A21" s="171">
        <v>5</v>
      </c>
      <c r="B21" s="525" t="s">
        <v>32</v>
      </c>
      <c r="C21" s="526"/>
      <c r="D21" s="66" t="s">
        <v>272</v>
      </c>
    </row>
    <row r="22" spans="1:4" ht="15.75" x14ac:dyDescent="0.25">
      <c r="A22" s="171">
        <v>6</v>
      </c>
      <c r="B22" s="525" t="s">
        <v>2</v>
      </c>
      <c r="C22" s="526"/>
      <c r="D22" s="67">
        <v>44562</v>
      </c>
    </row>
    <row r="23" spans="1:4" ht="15.75" x14ac:dyDescent="0.25">
      <c r="A23" s="523"/>
      <c r="B23" s="535"/>
      <c r="C23" s="535"/>
      <c r="D23" s="524"/>
    </row>
    <row r="24" spans="1:4" ht="15.75" x14ac:dyDescent="0.25">
      <c r="A24" s="536" t="s">
        <v>33</v>
      </c>
      <c r="B24" s="536"/>
      <c r="C24" s="536"/>
      <c r="D24" s="536"/>
    </row>
    <row r="25" spans="1:4" ht="15.75" x14ac:dyDescent="0.25">
      <c r="A25" s="537"/>
      <c r="B25" s="538"/>
      <c r="C25" s="538"/>
      <c r="D25" s="539"/>
    </row>
    <row r="26" spans="1:4" ht="15.75" x14ac:dyDescent="0.25">
      <c r="A26" s="166">
        <v>1</v>
      </c>
      <c r="B26" s="540" t="s">
        <v>34</v>
      </c>
      <c r="C26" s="541"/>
      <c r="D26" s="166" t="s">
        <v>35</v>
      </c>
    </row>
    <row r="27" spans="1:4" ht="15.75" hidden="1" outlineLevel="1" x14ac:dyDescent="0.25">
      <c r="A27" s="165" t="s">
        <v>36</v>
      </c>
      <c r="B27" s="164" t="s">
        <v>144</v>
      </c>
      <c r="C27" s="64">
        <f>D20</f>
        <v>220</v>
      </c>
      <c r="D27" s="98">
        <f>D19/220*C27</f>
        <v>1240</v>
      </c>
    </row>
    <row r="28" spans="1:4" ht="15.75" hidden="1" outlineLevel="1" x14ac:dyDescent="0.25">
      <c r="A28" s="165" t="s">
        <v>16</v>
      </c>
      <c r="B28" s="164" t="s">
        <v>37</v>
      </c>
      <c r="C28" s="26">
        <v>0</v>
      </c>
      <c r="D28" s="98">
        <f>C28*D27</f>
        <v>0</v>
      </c>
    </row>
    <row r="29" spans="1:4" ht="15.75" hidden="1" outlineLevel="1" x14ac:dyDescent="0.25">
      <c r="A29" s="165" t="s">
        <v>17</v>
      </c>
      <c r="B29" s="164" t="s">
        <v>38</v>
      </c>
      <c r="C29" s="26">
        <v>0.2</v>
      </c>
      <c r="D29" s="98">
        <f>C29*D27</f>
        <v>248</v>
      </c>
    </row>
    <row r="30" spans="1:4" ht="15.75" hidden="1" outlineLevel="1" x14ac:dyDescent="0.25">
      <c r="A30" s="165" t="s">
        <v>19</v>
      </c>
      <c r="B30" s="164" t="s">
        <v>146</v>
      </c>
      <c r="C30" s="154">
        <v>0</v>
      </c>
      <c r="D30" s="99">
        <f>SUM(D31:D32)</f>
        <v>0</v>
      </c>
    </row>
    <row r="31" spans="1:4" ht="15.75" hidden="1" outlineLevel="2" x14ac:dyDescent="0.25">
      <c r="A31" s="71" t="s">
        <v>111</v>
      </c>
      <c r="B31" s="164" t="s">
        <v>147</v>
      </c>
      <c r="C31" s="72">
        <v>0.2</v>
      </c>
      <c r="D31" s="99">
        <f>(SUM(D27:D29)/C27)*C31*15*C30</f>
        <v>0</v>
      </c>
    </row>
    <row r="32" spans="1:4" ht="15.75" hidden="1" outlineLevel="2" x14ac:dyDescent="0.25">
      <c r="A32" s="71" t="s">
        <v>112</v>
      </c>
      <c r="B32" s="164" t="s">
        <v>148</v>
      </c>
      <c r="C32" s="73">
        <f>C30*(60/52.5)/8</f>
        <v>0</v>
      </c>
      <c r="D32" s="99">
        <f>(SUM(D27:D29)/C27)*(C31)*15*C32</f>
        <v>0</v>
      </c>
    </row>
    <row r="33" spans="1:4" ht="15.75" hidden="1" outlineLevel="1" collapsed="1" x14ac:dyDescent="0.25">
      <c r="A33" s="169" t="s">
        <v>22</v>
      </c>
      <c r="B33" s="167" t="s">
        <v>149</v>
      </c>
      <c r="C33" s="74" t="s">
        <v>150</v>
      </c>
      <c r="D33" s="1">
        <f>SUM(D34:D37)</f>
        <v>0</v>
      </c>
    </row>
    <row r="34" spans="1:4" ht="15.75" hidden="1" outlineLevel="2" x14ac:dyDescent="0.25">
      <c r="A34" s="75" t="s">
        <v>151</v>
      </c>
      <c r="B34" s="168" t="s">
        <v>152</v>
      </c>
      <c r="C34" s="76">
        <v>0</v>
      </c>
      <c r="D34" s="100">
        <f>(SUM($D$27:$D$29)/$C$27)*C34*1.5</f>
        <v>0</v>
      </c>
    </row>
    <row r="35" spans="1:4" ht="15.75" hidden="1" outlineLevel="2" x14ac:dyDescent="0.25">
      <c r="A35" s="75" t="s">
        <v>153</v>
      </c>
      <c r="B35" s="77" t="s">
        <v>154</v>
      </c>
      <c r="C35" s="78">
        <v>0</v>
      </c>
      <c r="D35" s="100">
        <f>(SUM($D$27:$D$29)/$C$27)*C35*((60/52.5)*1.2*1.5)</f>
        <v>0</v>
      </c>
    </row>
    <row r="36" spans="1:4" ht="15.75" hidden="1" outlineLevel="2" x14ac:dyDescent="0.25">
      <c r="A36" s="75" t="s">
        <v>155</v>
      </c>
      <c r="B36" s="168" t="s">
        <v>156</v>
      </c>
      <c r="C36" s="79">
        <f>C34*0.1429</f>
        <v>0</v>
      </c>
      <c r="D36" s="100">
        <f>(SUM($D$27:$D$29)/$C$27)*C36*2</f>
        <v>0</v>
      </c>
    </row>
    <row r="37" spans="1:4" ht="15.75" hidden="1" outlineLevel="2" x14ac:dyDescent="0.25">
      <c r="A37" s="75" t="s">
        <v>157</v>
      </c>
      <c r="B37" s="168" t="s">
        <v>158</v>
      </c>
      <c r="C37" s="79">
        <f>C34*0.1429</f>
        <v>0</v>
      </c>
      <c r="D37" s="100">
        <f>(SUM($D$27:$D$29)/$C$27)*C37*((60/52.5)*1.2*2)</f>
        <v>0</v>
      </c>
    </row>
    <row r="38" spans="1:4" ht="15.75" hidden="1" outlineLevel="1" collapsed="1" x14ac:dyDescent="0.25">
      <c r="A38" s="165" t="s">
        <v>24</v>
      </c>
      <c r="B38" s="54" t="s">
        <v>39</v>
      </c>
      <c r="C38" s="55">
        <v>0</v>
      </c>
      <c r="D38" s="101">
        <v>0</v>
      </c>
    </row>
    <row r="39" spans="1:4" ht="15.75" collapsed="1" x14ac:dyDescent="0.25">
      <c r="A39" s="540" t="s">
        <v>40</v>
      </c>
      <c r="B39" s="542"/>
      <c r="C39" s="541"/>
      <c r="D39" s="102">
        <f>SUM(D27:D30,D33,D38)</f>
        <v>1488</v>
      </c>
    </row>
    <row r="40" spans="1:4" ht="15.75" x14ac:dyDescent="0.25">
      <c r="A40" s="543"/>
      <c r="B40" s="543"/>
      <c r="C40" s="543"/>
      <c r="D40" s="543"/>
    </row>
    <row r="41" spans="1:4" ht="15.75" hidden="1" outlineLevel="1" x14ac:dyDescent="0.25">
      <c r="A41" s="80" t="s">
        <v>159</v>
      </c>
      <c r="B41" s="103" t="s">
        <v>160</v>
      </c>
      <c r="C41" s="104" t="s">
        <v>161</v>
      </c>
      <c r="D41" s="104" t="s">
        <v>35</v>
      </c>
    </row>
    <row r="42" spans="1:4" ht="15.75" hidden="1" outlineLevel="1" x14ac:dyDescent="0.25">
      <c r="A42" s="163" t="s">
        <v>36</v>
      </c>
      <c r="B42" s="25" t="s">
        <v>162</v>
      </c>
      <c r="C42" s="81">
        <v>0</v>
      </c>
      <c r="D42" s="105">
        <f>(SUM(D27)/$C$27)*C42*1.5</f>
        <v>0</v>
      </c>
    </row>
    <row r="43" spans="1:4" ht="15.75" hidden="1" outlineLevel="1" x14ac:dyDescent="0.25">
      <c r="A43" s="106" t="s">
        <v>17</v>
      </c>
      <c r="B43" s="107" t="s">
        <v>163</v>
      </c>
      <c r="C43" s="108">
        <v>0</v>
      </c>
      <c r="D43" s="98">
        <f>C43*177</f>
        <v>0</v>
      </c>
    </row>
    <row r="44" spans="1:4" ht="15.75" hidden="1" outlineLevel="1" x14ac:dyDescent="0.25">
      <c r="A44" s="165" t="s">
        <v>19</v>
      </c>
      <c r="B44" s="54" t="s">
        <v>39</v>
      </c>
      <c r="C44" s="55">
        <v>0</v>
      </c>
      <c r="D44" s="101">
        <v>0</v>
      </c>
    </row>
    <row r="45" spans="1:4" ht="15.75" collapsed="1" x14ac:dyDescent="0.25">
      <c r="A45" s="527" t="s">
        <v>164</v>
      </c>
      <c r="B45" s="528"/>
      <c r="C45" s="28">
        <f>D45/D39</f>
        <v>0</v>
      </c>
      <c r="D45" s="109">
        <f>SUM(D42:D43)</f>
        <v>0</v>
      </c>
    </row>
    <row r="46" spans="1:4" ht="15.75" x14ac:dyDescent="0.25">
      <c r="A46" s="529"/>
      <c r="B46" s="530"/>
      <c r="C46" s="530"/>
      <c r="D46" s="531"/>
    </row>
    <row r="47" spans="1:4" ht="15.75" x14ac:dyDescent="0.25">
      <c r="A47" s="532" t="s">
        <v>41</v>
      </c>
      <c r="B47" s="533"/>
      <c r="C47" s="533"/>
      <c r="D47" s="534"/>
    </row>
    <row r="48" spans="1:4" ht="15.75" hidden="1" outlineLevel="1" x14ac:dyDescent="0.25">
      <c r="A48" s="529"/>
      <c r="B48" s="530"/>
      <c r="C48" s="530"/>
      <c r="D48" s="531"/>
    </row>
    <row r="49" spans="1:4" ht="15.75" hidden="1" outlineLevel="1" x14ac:dyDescent="0.25">
      <c r="A49" s="104" t="s">
        <v>42</v>
      </c>
      <c r="B49" s="103" t="s">
        <v>43</v>
      </c>
      <c r="C49" s="104" t="s">
        <v>44</v>
      </c>
      <c r="D49" s="104" t="s">
        <v>35</v>
      </c>
    </row>
    <row r="50" spans="1:4" ht="15.75" hidden="1" outlineLevel="2" x14ac:dyDescent="0.25">
      <c r="A50" s="106" t="s">
        <v>36</v>
      </c>
      <c r="B50" s="107" t="s">
        <v>45</v>
      </c>
      <c r="C50" s="27">
        <f>1/12</f>
        <v>8.3299999999999999E-2</v>
      </c>
      <c r="D50" s="98">
        <f>C50*D39</f>
        <v>123.95</v>
      </c>
    </row>
    <row r="51" spans="1:4" ht="15.75" hidden="1" outlineLevel="2" x14ac:dyDescent="0.25">
      <c r="A51" s="106" t="s">
        <v>16</v>
      </c>
      <c r="B51" s="107" t="s">
        <v>113</v>
      </c>
      <c r="C51" s="27">
        <f>IF(C12&gt;60,(1/C12/3)*5,IF(C12&gt;48,(1/C12/3)*4,IF(C12&gt;36,(1/C12/3)*3,IF(C12&gt;24,(1/C12/3)*2,IF(C12&gt;12,(1/C12/3)*1,0)))))</f>
        <v>0</v>
      </c>
      <c r="D51" s="98">
        <f>C51*D39</f>
        <v>0</v>
      </c>
    </row>
    <row r="52" spans="1:4" ht="15.75" hidden="1" outlineLevel="1" x14ac:dyDescent="0.25">
      <c r="A52" s="527" t="s">
        <v>11</v>
      </c>
      <c r="B52" s="528"/>
      <c r="C52" s="28">
        <f>SUM(C50:C51)</f>
        <v>8.3299999999999999E-2</v>
      </c>
      <c r="D52" s="109">
        <f>SUM(D50:D51)</f>
        <v>123.95</v>
      </c>
    </row>
    <row r="53" spans="1:4" ht="15.75" hidden="1" outlineLevel="1" x14ac:dyDescent="0.25">
      <c r="A53" s="529"/>
      <c r="B53" s="530"/>
      <c r="C53" s="530"/>
      <c r="D53" s="531"/>
    </row>
    <row r="54" spans="1:4" ht="15.75" hidden="1" outlineLevel="1" x14ac:dyDescent="0.25">
      <c r="A54" s="104" t="s">
        <v>46</v>
      </c>
      <c r="B54" s="110" t="s">
        <v>47</v>
      </c>
      <c r="C54" s="104" t="s">
        <v>44</v>
      </c>
      <c r="D54" s="111" t="s">
        <v>35</v>
      </c>
    </row>
    <row r="55" spans="1:4" ht="15.75" hidden="1" outlineLevel="2" x14ac:dyDescent="0.25">
      <c r="A55" s="163" t="s">
        <v>36</v>
      </c>
      <c r="B55" s="29" t="s">
        <v>48</v>
      </c>
      <c r="C55" s="30">
        <v>0.2</v>
      </c>
      <c r="D55" s="98">
        <f t="shared" ref="D55:D62" si="0">C55*($D$39+$D$52)</f>
        <v>322.39</v>
      </c>
    </row>
    <row r="56" spans="1:4" ht="15.75" hidden="1" outlineLevel="2" x14ac:dyDescent="0.25">
      <c r="A56" s="163" t="s">
        <v>16</v>
      </c>
      <c r="B56" s="29" t="s">
        <v>49</v>
      </c>
      <c r="C56" s="30">
        <v>2.5000000000000001E-2</v>
      </c>
      <c r="D56" s="98">
        <f t="shared" si="0"/>
        <v>40.299999999999997</v>
      </c>
    </row>
    <row r="57" spans="1:4" ht="15.75" hidden="1" outlineLevel="2" x14ac:dyDescent="0.25">
      <c r="A57" s="163" t="s">
        <v>17</v>
      </c>
      <c r="B57" s="29" t="s">
        <v>165</v>
      </c>
      <c r="C57" s="59">
        <v>0.03</v>
      </c>
      <c r="D57" s="98">
        <f t="shared" si="0"/>
        <v>48.36</v>
      </c>
    </row>
    <row r="58" spans="1:4" ht="15.75" hidden="1" outlineLevel="2" x14ac:dyDescent="0.25">
      <c r="A58" s="163" t="s">
        <v>19</v>
      </c>
      <c r="B58" s="29" t="s">
        <v>166</v>
      </c>
      <c r="C58" s="30">
        <v>1.4999999999999999E-2</v>
      </c>
      <c r="D58" s="98">
        <f t="shared" si="0"/>
        <v>24.18</v>
      </c>
    </row>
    <row r="59" spans="1:4" ht="15.75" hidden="1" outlineLevel="2" x14ac:dyDescent="0.25">
      <c r="A59" s="163" t="s">
        <v>22</v>
      </c>
      <c r="B59" s="29" t="s">
        <v>167</v>
      </c>
      <c r="C59" s="30">
        <v>0.01</v>
      </c>
      <c r="D59" s="98">
        <f t="shared" si="0"/>
        <v>16.12</v>
      </c>
    </row>
    <row r="60" spans="1:4" ht="15.75" hidden="1" outlineLevel="2" x14ac:dyDescent="0.25">
      <c r="A60" s="163" t="s">
        <v>24</v>
      </c>
      <c r="B60" s="29" t="s">
        <v>50</v>
      </c>
      <c r="C60" s="30">
        <v>6.0000000000000001E-3</v>
      </c>
      <c r="D60" s="98">
        <f t="shared" si="0"/>
        <v>9.67</v>
      </c>
    </row>
    <row r="61" spans="1:4" ht="15.75" hidden="1" outlineLevel="2" x14ac:dyDescent="0.25">
      <c r="A61" s="163" t="s">
        <v>25</v>
      </c>
      <c r="B61" s="29" t="s">
        <v>51</v>
      </c>
      <c r="C61" s="30">
        <v>2E-3</v>
      </c>
      <c r="D61" s="98">
        <f t="shared" si="0"/>
        <v>3.22</v>
      </c>
    </row>
    <row r="62" spans="1:4" ht="15.75" hidden="1" outlineLevel="2" x14ac:dyDescent="0.25">
      <c r="A62" s="163" t="s">
        <v>52</v>
      </c>
      <c r="B62" s="29" t="s">
        <v>53</v>
      </c>
      <c r="C62" s="30">
        <v>0.08</v>
      </c>
      <c r="D62" s="98">
        <f t="shared" si="0"/>
        <v>128.96</v>
      </c>
    </row>
    <row r="63" spans="1:4" ht="15.75" hidden="1" outlineLevel="1" x14ac:dyDescent="0.25">
      <c r="A63" s="527" t="s">
        <v>11</v>
      </c>
      <c r="B63" s="528"/>
      <c r="C63" s="31">
        <f>SUM(C55:C62)</f>
        <v>0.36799999999999999</v>
      </c>
      <c r="D63" s="112">
        <f>SUM(D55:D62)</f>
        <v>593.20000000000005</v>
      </c>
    </row>
    <row r="64" spans="1:4" ht="15.75" hidden="1" outlineLevel="1" x14ac:dyDescent="0.25">
      <c r="A64" s="529"/>
      <c r="B64" s="530"/>
      <c r="C64" s="530"/>
      <c r="D64" s="531"/>
    </row>
    <row r="65" spans="1:4" ht="15.75" hidden="1" outlineLevel="1" x14ac:dyDescent="0.25">
      <c r="A65" s="104" t="s">
        <v>54</v>
      </c>
      <c r="B65" s="110" t="s">
        <v>55</v>
      </c>
      <c r="C65" s="104" t="s">
        <v>56</v>
      </c>
      <c r="D65" s="104" t="s">
        <v>35</v>
      </c>
    </row>
    <row r="66" spans="1:4" ht="15.75" hidden="1" outlineLevel="2" x14ac:dyDescent="0.25">
      <c r="A66" s="163" t="s">
        <v>36</v>
      </c>
      <c r="B66" s="29" t="s">
        <v>57</v>
      </c>
      <c r="C66" s="113">
        <v>3.75</v>
      </c>
      <c r="D66" s="114">
        <f>IF(D67+D68&gt;0,(D67+D68),0)</f>
        <v>83.1</v>
      </c>
    </row>
    <row r="67" spans="1:4" ht="15.75" hidden="1" outlineLevel="3" x14ac:dyDescent="0.25">
      <c r="A67" s="115" t="s">
        <v>110</v>
      </c>
      <c r="B67" s="29" t="s">
        <v>168</v>
      </c>
      <c r="C67" s="116">
        <v>21</v>
      </c>
      <c r="D67" s="117">
        <f>C66*C67*2</f>
        <v>157.5</v>
      </c>
    </row>
    <row r="68" spans="1:4" ht="15.75" hidden="1" outlineLevel="3" x14ac:dyDescent="0.25">
      <c r="A68" s="115" t="s">
        <v>114</v>
      </c>
      <c r="B68" s="29" t="s">
        <v>169</v>
      </c>
      <c r="C68" s="118">
        <v>0.06</v>
      </c>
      <c r="D68" s="117">
        <f>-D27*C68</f>
        <v>-74.400000000000006</v>
      </c>
    </row>
    <row r="69" spans="1:4" ht="15.75" hidden="1" outlineLevel="2" x14ac:dyDescent="0.25">
      <c r="A69" s="163" t="s">
        <v>16</v>
      </c>
      <c r="B69" s="29" t="s">
        <v>58</v>
      </c>
      <c r="C69" s="119">
        <f>'ASG - Superintendencia (Int)'!C69</f>
        <v>19.5</v>
      </c>
      <c r="D69" s="114">
        <f>D70+D71</f>
        <v>331.69</v>
      </c>
    </row>
    <row r="70" spans="1:4" ht="15.75" hidden="1" outlineLevel="3" x14ac:dyDescent="0.25">
      <c r="A70" s="115" t="s">
        <v>90</v>
      </c>
      <c r="B70" s="29" t="s">
        <v>170</v>
      </c>
      <c r="C70" s="116">
        <v>21</v>
      </c>
      <c r="D70" s="117">
        <f>C69*C70</f>
        <v>409.5</v>
      </c>
    </row>
    <row r="71" spans="1:4" ht="15.75" hidden="1" outlineLevel="3" x14ac:dyDescent="0.25">
      <c r="A71" s="115" t="s">
        <v>115</v>
      </c>
      <c r="B71" s="29" t="s">
        <v>91</v>
      </c>
      <c r="C71" s="120">
        <v>-0.19</v>
      </c>
      <c r="D71" s="117">
        <f>D70*C71</f>
        <v>-77.81</v>
      </c>
    </row>
    <row r="72" spans="1:4" ht="15.75" hidden="1" outlineLevel="2" x14ac:dyDescent="0.25">
      <c r="A72" s="163" t="s">
        <v>17</v>
      </c>
      <c r="B72" s="68" t="s">
        <v>286</v>
      </c>
      <c r="C72" s="123">
        <v>17.32</v>
      </c>
      <c r="D72" s="122">
        <f>C72</f>
        <v>17.32</v>
      </c>
    </row>
    <row r="73" spans="1:4" ht="15.75" hidden="1" outlineLevel="2" x14ac:dyDescent="0.25">
      <c r="A73" s="163" t="s">
        <v>19</v>
      </c>
      <c r="B73" s="69" t="s">
        <v>288</v>
      </c>
      <c r="C73" s="123">
        <f>140*3</f>
        <v>420</v>
      </c>
      <c r="D73" s="122">
        <f>C73*C152</f>
        <v>0.84</v>
      </c>
    </row>
    <row r="74" spans="1:4" ht="15.75" hidden="1" outlineLevel="2" x14ac:dyDescent="0.25">
      <c r="A74" s="163" t="s">
        <v>22</v>
      </c>
      <c r="B74" s="68" t="s">
        <v>287</v>
      </c>
      <c r="C74" s="123">
        <v>21</v>
      </c>
      <c r="D74" s="122">
        <f>C74</f>
        <v>21</v>
      </c>
    </row>
    <row r="75" spans="1:4" ht="15.75" hidden="1" outlineLevel="2" x14ac:dyDescent="0.25">
      <c r="A75" s="163" t="s">
        <v>24</v>
      </c>
      <c r="B75" s="68" t="s">
        <v>39</v>
      </c>
      <c r="C75" s="121">
        <v>0</v>
      </c>
      <c r="D75" s="122">
        <f>C75*D39</f>
        <v>0</v>
      </c>
    </row>
    <row r="76" spans="1:4" ht="15.75" hidden="1" outlineLevel="2" x14ac:dyDescent="0.25">
      <c r="A76" s="163" t="s">
        <v>25</v>
      </c>
      <c r="B76" s="68" t="s">
        <v>39</v>
      </c>
      <c r="C76" s="123">
        <v>0</v>
      </c>
      <c r="D76" s="124">
        <f>C76</f>
        <v>0</v>
      </c>
    </row>
    <row r="77" spans="1:4" ht="15.75" hidden="1" outlineLevel="1" x14ac:dyDescent="0.25">
      <c r="A77" s="527" t="s">
        <v>59</v>
      </c>
      <c r="B77" s="564"/>
      <c r="C77" s="528"/>
      <c r="D77" s="109">
        <f>SUM(D66,D69,D72:D76)</f>
        <v>453.95</v>
      </c>
    </row>
    <row r="78" spans="1:4" ht="15.75" hidden="1" outlineLevel="1" x14ac:dyDescent="0.25">
      <c r="A78" s="529"/>
      <c r="B78" s="530"/>
      <c r="C78" s="530"/>
      <c r="D78" s="531"/>
    </row>
    <row r="79" spans="1:4" ht="15.75" hidden="1" outlineLevel="1" x14ac:dyDescent="0.25">
      <c r="A79" s="565" t="s">
        <v>60</v>
      </c>
      <c r="B79" s="566"/>
      <c r="C79" s="104" t="s">
        <v>44</v>
      </c>
      <c r="D79" s="104" t="s">
        <v>35</v>
      </c>
    </row>
    <row r="80" spans="1:4" ht="15.75" hidden="1" outlineLevel="1" x14ac:dyDescent="0.25">
      <c r="A80" s="163" t="s">
        <v>61</v>
      </c>
      <c r="B80" s="29" t="s">
        <v>43</v>
      </c>
      <c r="C80" s="32">
        <f>C52</f>
        <v>8.3299999999999999E-2</v>
      </c>
      <c r="D80" s="98">
        <f>D52</f>
        <v>123.95</v>
      </c>
    </row>
    <row r="81" spans="1:4" ht="15.75" hidden="1" outlineLevel="1" x14ac:dyDescent="0.25">
      <c r="A81" s="163" t="s">
        <v>46</v>
      </c>
      <c r="B81" s="29" t="s">
        <v>47</v>
      </c>
      <c r="C81" s="32">
        <f>C63</f>
        <v>0.36799999999999999</v>
      </c>
      <c r="D81" s="98">
        <f>D63</f>
        <v>593.20000000000005</v>
      </c>
    </row>
    <row r="82" spans="1:4" ht="15.75" hidden="1" outlineLevel="1" x14ac:dyDescent="0.25">
      <c r="A82" s="163" t="s">
        <v>62</v>
      </c>
      <c r="B82" s="29" t="s">
        <v>55</v>
      </c>
      <c r="C82" s="32">
        <f>D77/D39</f>
        <v>0.30509999999999998</v>
      </c>
      <c r="D82" s="98">
        <f>D77</f>
        <v>453.95</v>
      </c>
    </row>
    <row r="83" spans="1:4" ht="15.75" collapsed="1" x14ac:dyDescent="0.25">
      <c r="A83" s="527" t="s">
        <v>11</v>
      </c>
      <c r="B83" s="564"/>
      <c r="C83" s="528"/>
      <c r="D83" s="109">
        <f>SUM(D80:D82)</f>
        <v>1171.0999999999999</v>
      </c>
    </row>
    <row r="84" spans="1:4" ht="15.75" x14ac:dyDescent="0.25">
      <c r="A84" s="529"/>
      <c r="B84" s="530"/>
      <c r="C84" s="530"/>
      <c r="D84" s="531"/>
    </row>
    <row r="85" spans="1:4" ht="15.75" x14ac:dyDescent="0.25">
      <c r="A85" s="558" t="s">
        <v>171</v>
      </c>
      <c r="B85" s="559"/>
      <c r="C85" s="559"/>
      <c r="D85" s="560"/>
    </row>
    <row r="86" spans="1:4" ht="15.75" hidden="1" outlineLevel="1" x14ac:dyDescent="0.25">
      <c r="A86" s="529"/>
      <c r="B86" s="530"/>
      <c r="C86" s="530"/>
      <c r="D86" s="531"/>
    </row>
    <row r="87" spans="1:4" ht="15.75" hidden="1" outlineLevel="1" x14ac:dyDescent="0.25">
      <c r="A87" s="166" t="s">
        <v>172</v>
      </c>
      <c r="B87" s="103" t="s">
        <v>173</v>
      </c>
      <c r="C87" s="104" t="s">
        <v>44</v>
      </c>
      <c r="D87" s="104" t="s">
        <v>35</v>
      </c>
    </row>
    <row r="88" spans="1:4" ht="15.75" hidden="1" outlineLevel="2" x14ac:dyDescent="0.25">
      <c r="A88" s="33" t="s">
        <v>36</v>
      </c>
      <c r="B88" s="34" t="s">
        <v>174</v>
      </c>
      <c r="C88" s="33" t="s">
        <v>150</v>
      </c>
      <c r="D88" s="125">
        <f>IF(C99&gt;1,SUM(D89:D92)*2,SUM(D89:D92))</f>
        <v>1906.23</v>
      </c>
    </row>
    <row r="89" spans="1:4" ht="15.75" hidden="1" outlineLevel="3" x14ac:dyDescent="0.25">
      <c r="A89" s="35" t="s">
        <v>175</v>
      </c>
      <c r="B89" s="36" t="s">
        <v>176</v>
      </c>
      <c r="C89" s="33">
        <f>(IF(C12&gt;60,45,IF(C12&gt;48,42,IF(C12&gt;36,39,IF(C12&gt;24,36,IF(C12&gt;12,33,30)))))/30)</f>
        <v>1</v>
      </c>
      <c r="D89" s="125">
        <f>D39*C89</f>
        <v>1488</v>
      </c>
    </row>
    <row r="90" spans="1:4" ht="15.75" hidden="1" outlineLevel="3" x14ac:dyDescent="0.25">
      <c r="A90" s="35" t="s">
        <v>177</v>
      </c>
      <c r="B90" s="36" t="s">
        <v>178</v>
      </c>
      <c r="C90" s="27">
        <f>1/12</f>
        <v>8.3299999999999999E-2</v>
      </c>
      <c r="D90" s="125">
        <f>C90*D89</f>
        <v>123.95</v>
      </c>
    </row>
    <row r="91" spans="1:4" ht="15.75" hidden="1" outlineLevel="3" x14ac:dyDescent="0.25">
      <c r="A91" s="35" t="s">
        <v>179</v>
      </c>
      <c r="B91" s="36" t="s">
        <v>180</v>
      </c>
      <c r="C91" s="27">
        <f>(1/12)+(1/12/3)</f>
        <v>0.1111</v>
      </c>
      <c r="D91" s="126">
        <f>C91*D89</f>
        <v>165.32</v>
      </c>
    </row>
    <row r="92" spans="1:4" ht="15.75" hidden="1" outlineLevel="3" x14ac:dyDescent="0.25">
      <c r="A92" s="35" t="s">
        <v>181</v>
      </c>
      <c r="B92" s="36" t="s">
        <v>182</v>
      </c>
      <c r="C92" s="37">
        <v>0.08</v>
      </c>
      <c r="D92" s="125">
        <f>SUM(D89:D90)*C92</f>
        <v>128.96</v>
      </c>
    </row>
    <row r="93" spans="1:4" ht="15.75" hidden="1" outlineLevel="2" x14ac:dyDescent="0.25">
      <c r="A93" s="33" t="s">
        <v>16</v>
      </c>
      <c r="B93" s="34" t="s">
        <v>183</v>
      </c>
      <c r="C93" s="38">
        <v>0.4</v>
      </c>
      <c r="D93" s="125">
        <f>C93*D94</f>
        <v>619.01</v>
      </c>
    </row>
    <row r="94" spans="1:4" ht="15.75" hidden="1" outlineLevel="3" x14ac:dyDescent="0.25">
      <c r="A94" s="33" t="s">
        <v>184</v>
      </c>
      <c r="B94" s="34" t="s">
        <v>185</v>
      </c>
      <c r="C94" s="38">
        <f>C62</f>
        <v>0.08</v>
      </c>
      <c r="D94" s="125">
        <f>C94*D95</f>
        <v>1547.52</v>
      </c>
    </row>
    <row r="95" spans="1:4" ht="15.75" hidden="1" outlineLevel="3" x14ac:dyDescent="0.25">
      <c r="A95" s="33" t="s">
        <v>186</v>
      </c>
      <c r="B95" s="39" t="s">
        <v>116</v>
      </c>
      <c r="C95" s="40" t="s">
        <v>150</v>
      </c>
      <c r="D95" s="126">
        <f>SUM(D96:D98)</f>
        <v>19344</v>
      </c>
    </row>
    <row r="96" spans="1:4" ht="15.75" hidden="1" outlineLevel="3" x14ac:dyDescent="0.25">
      <c r="A96" s="35" t="s">
        <v>187</v>
      </c>
      <c r="B96" s="36" t="s">
        <v>188</v>
      </c>
      <c r="C96" s="41">
        <f>C12-C98</f>
        <v>12</v>
      </c>
      <c r="D96" s="125">
        <f>D39*C96</f>
        <v>17856</v>
      </c>
    </row>
    <row r="97" spans="1:4" ht="15.75" hidden="1" outlineLevel="3" x14ac:dyDescent="0.25">
      <c r="A97" s="35" t="s">
        <v>189</v>
      </c>
      <c r="B97" s="36" t="s">
        <v>190</v>
      </c>
      <c r="C97" s="42">
        <f>C12/12</f>
        <v>1</v>
      </c>
      <c r="D97" s="125">
        <f>D39*C97</f>
        <v>1488</v>
      </c>
    </row>
    <row r="98" spans="1:4" ht="15.75" hidden="1" outlineLevel="3" x14ac:dyDescent="0.25">
      <c r="A98" s="35" t="s">
        <v>191</v>
      </c>
      <c r="B98" s="36" t="s">
        <v>192</v>
      </c>
      <c r="C98" s="40">
        <f>IF(C12&gt;60,5,IF(C12&gt;48,4,IF(C12&gt;36,3,IF(C12&gt;24,2,IF(C12&gt;12,1,0)))))</f>
        <v>0</v>
      </c>
      <c r="D98" s="126">
        <f>D39*C98*1.33333333333333</f>
        <v>0</v>
      </c>
    </row>
    <row r="99" spans="1:4" ht="15.75" hidden="1" outlineLevel="1" x14ac:dyDescent="0.25">
      <c r="A99" s="527" t="s">
        <v>11</v>
      </c>
      <c r="B99" s="528"/>
      <c r="C99" s="60">
        <f>'ASG - Superintendencia (Int)'!C99</f>
        <v>0.94450000000000001</v>
      </c>
      <c r="D99" s="109">
        <f>IF(C99&gt;1,D88+D93,(D88+D93)*C99)</f>
        <v>2385.09</v>
      </c>
    </row>
    <row r="100" spans="1:4" ht="15.75" hidden="1" outlineLevel="1" x14ac:dyDescent="0.25">
      <c r="A100" s="561"/>
      <c r="B100" s="562"/>
      <c r="C100" s="562"/>
      <c r="D100" s="563"/>
    </row>
    <row r="101" spans="1:4" ht="15.75" hidden="1" outlineLevel="1" x14ac:dyDescent="0.25">
      <c r="A101" s="166" t="s">
        <v>193</v>
      </c>
      <c r="B101" s="103" t="s">
        <v>194</v>
      </c>
      <c r="C101" s="104" t="s">
        <v>44</v>
      </c>
      <c r="D101" s="104" t="s">
        <v>35</v>
      </c>
    </row>
    <row r="102" spans="1:4" ht="15.75" hidden="1" outlineLevel="2" x14ac:dyDescent="0.25">
      <c r="A102" s="33" t="s">
        <v>36</v>
      </c>
      <c r="B102" s="39" t="s">
        <v>195</v>
      </c>
      <c r="C102" s="43">
        <f>IF(C111&gt;1,(1/30*7)*2,(1/30*7))</f>
        <v>0.23330000000000001</v>
      </c>
      <c r="D102" s="126">
        <f>C102*SUM(D103:D107)</f>
        <v>658.94</v>
      </c>
    </row>
    <row r="103" spans="1:4" ht="15.75" hidden="1" outlineLevel="3" x14ac:dyDescent="0.25">
      <c r="A103" s="35" t="s">
        <v>175</v>
      </c>
      <c r="B103" s="36" t="s">
        <v>196</v>
      </c>
      <c r="C103" s="33">
        <v>1</v>
      </c>
      <c r="D103" s="125">
        <f>D39</f>
        <v>1488</v>
      </c>
    </row>
    <row r="104" spans="1:4" ht="15.75" hidden="1" outlineLevel="3" x14ac:dyDescent="0.25">
      <c r="A104" s="35" t="s">
        <v>177</v>
      </c>
      <c r="B104" s="36" t="s">
        <v>197</v>
      </c>
      <c r="C104" s="27">
        <f>1/12</f>
        <v>8.3299999999999999E-2</v>
      </c>
      <c r="D104" s="125">
        <f>C104*D103</f>
        <v>123.95</v>
      </c>
    </row>
    <row r="105" spans="1:4" ht="15.75" hidden="1" outlineLevel="3" x14ac:dyDescent="0.25">
      <c r="A105" s="35" t="s">
        <v>179</v>
      </c>
      <c r="B105" s="36" t="s">
        <v>198</v>
      </c>
      <c r="C105" s="27">
        <f>(1/12)+(1/12/3)</f>
        <v>0.1111</v>
      </c>
      <c r="D105" s="125">
        <f>C105*D103</f>
        <v>165.32</v>
      </c>
    </row>
    <row r="106" spans="1:4" ht="15.75" hidden="1" outlineLevel="3" x14ac:dyDescent="0.25">
      <c r="A106" s="35" t="s">
        <v>181</v>
      </c>
      <c r="B106" s="44" t="s">
        <v>63</v>
      </c>
      <c r="C106" s="45">
        <f>C63</f>
        <v>0.36799999999999999</v>
      </c>
      <c r="D106" s="126">
        <f>C106*(D103+D104)</f>
        <v>593.20000000000005</v>
      </c>
    </row>
    <row r="107" spans="1:4" ht="15.75" hidden="1" outlineLevel="3" x14ac:dyDescent="0.25">
      <c r="A107" s="35" t="s">
        <v>199</v>
      </c>
      <c r="B107" s="44" t="s">
        <v>200</v>
      </c>
      <c r="C107" s="46">
        <v>1</v>
      </c>
      <c r="D107" s="126">
        <f>D77</f>
        <v>453.95</v>
      </c>
    </row>
    <row r="108" spans="1:4" ht="15.75" hidden="1" outlineLevel="2" x14ac:dyDescent="0.25">
      <c r="A108" s="33" t="s">
        <v>16</v>
      </c>
      <c r="B108" s="34" t="s">
        <v>201</v>
      </c>
      <c r="C108" s="38">
        <v>0.4</v>
      </c>
      <c r="D108" s="125">
        <f>C108*D109</f>
        <v>619.01</v>
      </c>
    </row>
    <row r="109" spans="1:4" ht="15.75" hidden="1" outlineLevel="2" x14ac:dyDescent="0.25">
      <c r="A109" s="33" t="s">
        <v>184</v>
      </c>
      <c r="B109" s="34" t="s">
        <v>185</v>
      </c>
      <c r="C109" s="38">
        <f>C62</f>
        <v>0.08</v>
      </c>
      <c r="D109" s="125">
        <f>C109*D110</f>
        <v>1547.52</v>
      </c>
    </row>
    <row r="110" spans="1:4" ht="15.75" hidden="1" outlineLevel="2" x14ac:dyDescent="0.25">
      <c r="A110" s="33" t="s">
        <v>186</v>
      </c>
      <c r="B110" s="39" t="s">
        <v>116</v>
      </c>
      <c r="C110" s="40" t="s">
        <v>150</v>
      </c>
      <c r="D110" s="126">
        <f>D95</f>
        <v>19344</v>
      </c>
    </row>
    <row r="111" spans="1:4" ht="15.75" hidden="1" outlineLevel="1" x14ac:dyDescent="0.25">
      <c r="A111" s="527" t="s">
        <v>11</v>
      </c>
      <c r="B111" s="528"/>
      <c r="C111" s="60">
        <f>'ASG - Superintendencia (Int)'!C111</f>
        <v>5.5500000000000001E-2</v>
      </c>
      <c r="D111" s="109">
        <f>IF(C111&gt;1,D102+D108,(D102+D108)*C111)</f>
        <v>70.930000000000007</v>
      </c>
    </row>
    <row r="112" spans="1:4" ht="15.75" hidden="1" outlineLevel="1" x14ac:dyDescent="0.25">
      <c r="A112" s="561"/>
      <c r="B112" s="562"/>
      <c r="C112" s="562"/>
      <c r="D112" s="563"/>
    </row>
    <row r="113" spans="1:4" ht="15.75" hidden="1" outlineLevel="1" x14ac:dyDescent="0.25">
      <c r="A113" s="166" t="s">
        <v>202</v>
      </c>
      <c r="B113" s="103" t="s">
        <v>203</v>
      </c>
      <c r="C113" s="104" t="s">
        <v>44</v>
      </c>
      <c r="D113" s="104" t="s">
        <v>35</v>
      </c>
    </row>
    <row r="114" spans="1:4" ht="15.75" hidden="1" outlineLevel="2" x14ac:dyDescent="0.25">
      <c r="A114" s="163" t="s">
        <v>36</v>
      </c>
      <c r="B114" s="29" t="s">
        <v>204</v>
      </c>
      <c r="C114" s="32">
        <f>IF(C12&gt;60,(D39/12*(C12-60))/C12/D39,IF(C12&gt;48,(D39/12*(C12-48))/C12/D39,IF(C12&gt;36,(D39/12*(C12-36))/C12/D39,IF(C12&gt;24,(D39/12*(C12-24))/C12/D39,IF(C12&gt;12,((D39/12*(C12-12))/C12/D39),1/12)))))</f>
        <v>8.3299999999999999E-2</v>
      </c>
      <c r="D114" s="127">
        <f>C114*D39</f>
        <v>123.95</v>
      </c>
    </row>
    <row r="115" spans="1:4" ht="15.75" hidden="1" outlineLevel="2" x14ac:dyDescent="0.25">
      <c r="A115" s="163" t="s">
        <v>16</v>
      </c>
      <c r="B115" s="47" t="s">
        <v>205</v>
      </c>
      <c r="C115" s="32">
        <f>C114/3</f>
        <v>2.7799999999999998E-2</v>
      </c>
      <c r="D115" s="128">
        <f>C115*D39</f>
        <v>41.37</v>
      </c>
    </row>
    <row r="116" spans="1:4" ht="15.75" hidden="1" outlineLevel="1" x14ac:dyDescent="0.25">
      <c r="A116" s="527" t="s">
        <v>11</v>
      </c>
      <c r="B116" s="528"/>
      <c r="C116" s="28">
        <f>C114+C115</f>
        <v>0.1111</v>
      </c>
      <c r="D116" s="109">
        <f>SUM(D114:D115)</f>
        <v>165.32</v>
      </c>
    </row>
    <row r="117" spans="1:4" ht="15.75" hidden="1" outlineLevel="1" x14ac:dyDescent="0.25">
      <c r="A117" s="561"/>
      <c r="B117" s="562"/>
      <c r="C117" s="562"/>
      <c r="D117" s="563"/>
    </row>
    <row r="118" spans="1:4" ht="15.75" hidden="1" outlineLevel="1" x14ac:dyDescent="0.25">
      <c r="A118" s="565" t="s">
        <v>206</v>
      </c>
      <c r="B118" s="566"/>
      <c r="C118" s="104" t="s">
        <v>44</v>
      </c>
      <c r="D118" s="104" t="s">
        <v>35</v>
      </c>
    </row>
    <row r="119" spans="1:4" ht="15.75" hidden="1" outlineLevel="1" x14ac:dyDescent="0.25">
      <c r="A119" s="163" t="s">
        <v>172</v>
      </c>
      <c r="B119" s="29" t="s">
        <v>173</v>
      </c>
      <c r="C119" s="32">
        <f>C99</f>
        <v>0.94450000000000001</v>
      </c>
      <c r="D119" s="98">
        <f>D99</f>
        <v>2385.09</v>
      </c>
    </row>
    <row r="120" spans="1:4" ht="15.75" hidden="1" outlineLevel="1" x14ac:dyDescent="0.25">
      <c r="A120" s="106" t="s">
        <v>193</v>
      </c>
      <c r="B120" s="29" t="s">
        <v>194</v>
      </c>
      <c r="C120" s="48">
        <f>C111</f>
        <v>5.5500000000000001E-2</v>
      </c>
      <c r="D120" s="98">
        <f>D111</f>
        <v>70.930000000000007</v>
      </c>
    </row>
    <row r="121" spans="1:4" ht="15.75" hidden="1" outlineLevel="1" x14ac:dyDescent="0.25">
      <c r="A121" s="571" t="s">
        <v>207</v>
      </c>
      <c r="B121" s="571"/>
      <c r="C121" s="571"/>
      <c r="D121" s="129">
        <f>D119+D120</f>
        <v>2456.02</v>
      </c>
    </row>
    <row r="122" spans="1:4" ht="15.75" hidden="1" outlineLevel="1" x14ac:dyDescent="0.25">
      <c r="A122" s="567" t="s">
        <v>208</v>
      </c>
      <c r="B122" s="568"/>
      <c r="C122" s="61">
        <f>'ASG - Superintendencia (Int)'!C122</f>
        <v>0.7</v>
      </c>
      <c r="D122" s="56">
        <f>C122*D121</f>
        <v>1719.21</v>
      </c>
    </row>
    <row r="123" spans="1:4" ht="15.75" hidden="1" outlineLevel="1" x14ac:dyDescent="0.25">
      <c r="A123" s="567" t="s">
        <v>209</v>
      </c>
      <c r="B123" s="568"/>
      <c r="C123" s="61">
        <f>'ASG - Superintendencia (Int)'!C123</f>
        <v>0.01</v>
      </c>
      <c r="D123" s="56">
        <f>(D50+(D116/2))*-C123</f>
        <v>-2.0699999999999998</v>
      </c>
    </row>
    <row r="124" spans="1:4" ht="15.75" hidden="1" outlineLevel="1" x14ac:dyDescent="0.25">
      <c r="A124" s="569" t="s">
        <v>210</v>
      </c>
      <c r="B124" s="570"/>
      <c r="C124" s="65">
        <f>1/C12</f>
        <v>8.3299999999999999E-2</v>
      </c>
      <c r="D124" s="57">
        <f>(D122+D123)*C124</f>
        <v>143.04</v>
      </c>
    </row>
    <row r="125" spans="1:4" ht="15.75" hidden="1" outlineLevel="1" x14ac:dyDescent="0.25">
      <c r="A125" s="106" t="s">
        <v>202</v>
      </c>
      <c r="B125" s="29" t="s">
        <v>211</v>
      </c>
      <c r="C125" s="48"/>
      <c r="D125" s="117">
        <f>D116</f>
        <v>165.32</v>
      </c>
    </row>
    <row r="126" spans="1:4" ht="15.75" collapsed="1" x14ac:dyDescent="0.25">
      <c r="A126" s="527" t="s">
        <v>11</v>
      </c>
      <c r="B126" s="528"/>
      <c r="C126" s="28"/>
      <c r="D126" s="130">
        <f>D124+D125</f>
        <v>308.36</v>
      </c>
    </row>
    <row r="127" spans="1:4" ht="15.75" x14ac:dyDescent="0.25">
      <c r="A127" s="529"/>
      <c r="B127" s="530"/>
      <c r="C127" s="530"/>
      <c r="D127" s="531"/>
    </row>
    <row r="128" spans="1:4" ht="15.75" x14ac:dyDescent="0.25">
      <c r="A128" s="532" t="s">
        <v>64</v>
      </c>
      <c r="B128" s="533"/>
      <c r="C128" s="533"/>
      <c r="D128" s="534"/>
    </row>
    <row r="129" spans="1:4" ht="15.75" hidden="1" outlineLevel="1" x14ac:dyDescent="0.25">
      <c r="A129" s="561"/>
      <c r="B129" s="562"/>
      <c r="C129" s="562"/>
      <c r="D129" s="563"/>
    </row>
    <row r="130" spans="1:4" ht="15.75" hidden="1" outlineLevel="1" x14ac:dyDescent="0.25">
      <c r="A130" s="104" t="s">
        <v>65</v>
      </c>
      <c r="B130" s="110" t="s">
        <v>212</v>
      </c>
      <c r="C130" s="28" t="s">
        <v>44</v>
      </c>
      <c r="D130" s="104" t="s">
        <v>35</v>
      </c>
    </row>
    <row r="131" spans="1:4" ht="15.75" hidden="1" outlineLevel="2" x14ac:dyDescent="0.25">
      <c r="A131" s="131" t="s">
        <v>36</v>
      </c>
      <c r="B131" s="82" t="s">
        <v>66</v>
      </c>
      <c r="C131" s="49">
        <f>IF(C12&gt;60,5/C12,IF(C12&gt;48,4/C12,IF(C12&gt;36,3/C12,IF(C12&gt;24,2/C12,IF(C12&gt;12,1/C12,0)))))</f>
        <v>0</v>
      </c>
      <c r="D131" s="127">
        <f>SUM(D132:D136)</f>
        <v>0</v>
      </c>
    </row>
    <row r="132" spans="1:4" ht="15.75" hidden="1" outlineLevel="3" x14ac:dyDescent="0.25">
      <c r="A132" s="132" t="s">
        <v>213</v>
      </c>
      <c r="B132" s="83" t="s">
        <v>214</v>
      </c>
      <c r="C132" s="133">
        <f>D39</f>
        <v>1488</v>
      </c>
      <c r="D132" s="134">
        <f>$C$131*(D39)-($C$131*(D39)*C137/3)</f>
        <v>0</v>
      </c>
    </row>
    <row r="133" spans="1:4" ht="15.75" hidden="1" outlineLevel="3" x14ac:dyDescent="0.25">
      <c r="A133" s="132" t="s">
        <v>215</v>
      </c>
      <c r="B133" s="83" t="s">
        <v>216</v>
      </c>
      <c r="C133" s="133">
        <f>(D50)</f>
        <v>123.95</v>
      </c>
      <c r="D133" s="134">
        <f>$C$131*C133-($C$131*C133*C137/3)</f>
        <v>0</v>
      </c>
    </row>
    <row r="134" spans="1:4" ht="15.75" hidden="1" outlineLevel="3" x14ac:dyDescent="0.25">
      <c r="A134" s="132" t="s">
        <v>217</v>
      </c>
      <c r="B134" s="83" t="s">
        <v>218</v>
      </c>
      <c r="C134" s="135">
        <f>(D39/12)+(D51*IF(C12&gt;60,((C12-60)*(1/60))+1,IF(C12&gt;48,((C12-48)*(1/48))+1,IF(C12&gt;36,((C12-36)*(1/36))+1,IF(C12&gt;24,((C12-24)*(1/24))+1,IF(C12&gt;12,((C12-12)*(1/12))+1,1))))))</f>
        <v>124</v>
      </c>
      <c r="D134" s="134">
        <f>$C$131*C134-($C$131*C134*C137/3)</f>
        <v>0</v>
      </c>
    </row>
    <row r="135" spans="1:4" ht="15.75" hidden="1" outlineLevel="3" x14ac:dyDescent="0.25">
      <c r="A135" s="132" t="s">
        <v>219</v>
      </c>
      <c r="B135" s="83" t="s">
        <v>220</v>
      </c>
      <c r="C135" s="84">
        <f>C63</f>
        <v>0.36799999999999999</v>
      </c>
      <c r="D135" s="134">
        <f>SUM(D132:D134)*C131</f>
        <v>0</v>
      </c>
    </row>
    <row r="136" spans="1:4" ht="15.75" hidden="1" outlineLevel="3" x14ac:dyDescent="0.25">
      <c r="A136" s="132" t="s">
        <v>221</v>
      </c>
      <c r="B136" s="83" t="s">
        <v>222</v>
      </c>
      <c r="C136" s="135">
        <f>D124</f>
        <v>143.04</v>
      </c>
      <c r="D136" s="134">
        <f>C136*C131</f>
        <v>0</v>
      </c>
    </row>
    <row r="137" spans="1:4" ht="15.75" hidden="1" outlineLevel="2" x14ac:dyDescent="0.25">
      <c r="A137" s="163" t="s">
        <v>16</v>
      </c>
      <c r="B137" s="29" t="s">
        <v>223</v>
      </c>
      <c r="C137" s="85">
        <v>0</v>
      </c>
      <c r="D137" s="117">
        <f>$C$131*(D39)*(C137/3)</f>
        <v>0</v>
      </c>
    </row>
    <row r="138" spans="1:4" ht="15.75" hidden="1" outlineLevel="1" x14ac:dyDescent="0.25">
      <c r="A138" s="527" t="s">
        <v>224</v>
      </c>
      <c r="B138" s="528"/>
      <c r="C138" s="28">
        <f>C131+(D137/D39)</f>
        <v>0</v>
      </c>
      <c r="D138" s="109">
        <f>SUM(D131:D137)</f>
        <v>0</v>
      </c>
    </row>
    <row r="139" spans="1:4" ht="15.75" hidden="1" outlineLevel="1" x14ac:dyDescent="0.25">
      <c r="A139" s="561"/>
      <c r="B139" s="562"/>
      <c r="C139" s="562"/>
      <c r="D139" s="563"/>
    </row>
    <row r="140" spans="1:4" ht="15.75" hidden="1" outlineLevel="2" x14ac:dyDescent="0.25">
      <c r="A140" s="574" t="s">
        <v>225</v>
      </c>
      <c r="B140" s="136" t="s">
        <v>188</v>
      </c>
      <c r="C140" s="86">
        <v>220</v>
      </c>
      <c r="D140" s="137">
        <f>D39</f>
        <v>1488</v>
      </c>
    </row>
    <row r="141" spans="1:4" ht="15.75" hidden="1" outlineLevel="2" x14ac:dyDescent="0.25">
      <c r="A141" s="575"/>
      <c r="B141" s="136" t="s">
        <v>226</v>
      </c>
      <c r="C141" s="49">
        <f>(1+(1/3)+1)/12</f>
        <v>0.19439999999999999</v>
      </c>
      <c r="D141" s="138">
        <f>D140*C141</f>
        <v>289.27</v>
      </c>
    </row>
    <row r="142" spans="1:4" ht="15.75" hidden="1" outlineLevel="2" x14ac:dyDescent="0.25">
      <c r="A142" s="575"/>
      <c r="B142" s="136" t="s">
        <v>227</v>
      </c>
      <c r="C142" s="49">
        <f>C63</f>
        <v>0.36799999999999999</v>
      </c>
      <c r="D142" s="138">
        <f>(D140+D141)*C142</f>
        <v>654.04</v>
      </c>
    </row>
    <row r="143" spans="1:4" ht="15.75" hidden="1" outlineLevel="2" x14ac:dyDescent="0.25">
      <c r="A143" s="575"/>
      <c r="B143" s="136" t="s">
        <v>228</v>
      </c>
      <c r="C143" s="49">
        <f>D143/D140</f>
        <v>0.30509999999999998</v>
      </c>
      <c r="D143" s="138">
        <f>D77</f>
        <v>453.95</v>
      </c>
    </row>
    <row r="144" spans="1:4" ht="15.75" hidden="1" outlineLevel="2" x14ac:dyDescent="0.25">
      <c r="A144" s="576"/>
      <c r="B144" s="139" t="s">
        <v>229</v>
      </c>
      <c r="C144" s="49">
        <f>D144/D140</f>
        <v>9.6100000000000005E-2</v>
      </c>
      <c r="D144" s="138">
        <f>D124</f>
        <v>143.04</v>
      </c>
    </row>
    <row r="145" spans="1:4" ht="15.75" hidden="1" outlineLevel="2" x14ac:dyDescent="0.25">
      <c r="A145" s="577" t="s">
        <v>230</v>
      </c>
      <c r="B145" s="578"/>
      <c r="C145" s="87">
        <f>D145/D140</f>
        <v>2.0350999999999999</v>
      </c>
      <c r="D145" s="140">
        <f>SUM(D140:D144)</f>
        <v>3028.3</v>
      </c>
    </row>
    <row r="146" spans="1:4" ht="15.75" hidden="1" outlineLevel="2" x14ac:dyDescent="0.25">
      <c r="A146" s="579"/>
      <c r="B146" s="579"/>
      <c r="C146" s="579"/>
      <c r="D146" s="580"/>
    </row>
    <row r="147" spans="1:4" ht="15.75" hidden="1" outlineLevel="1" x14ac:dyDescent="0.25">
      <c r="A147" s="104" t="s">
        <v>231</v>
      </c>
      <c r="B147" s="110" t="s">
        <v>232</v>
      </c>
      <c r="C147" s="28" t="s">
        <v>44</v>
      </c>
      <c r="D147" s="104" t="s">
        <v>35</v>
      </c>
    </row>
    <row r="148" spans="1:4" ht="15.75" hidden="1" outlineLevel="2" x14ac:dyDescent="0.25">
      <c r="A148" s="163" t="s">
        <v>16</v>
      </c>
      <c r="B148" s="29" t="s">
        <v>118</v>
      </c>
      <c r="C148" s="70">
        <f>5/252</f>
        <v>1.9800000000000002E-2</v>
      </c>
      <c r="D148" s="127">
        <f>C148*$D$145</f>
        <v>59.96</v>
      </c>
    </row>
    <row r="149" spans="1:4" ht="15.75" hidden="1" outlineLevel="2" x14ac:dyDescent="0.25">
      <c r="A149" s="163" t="s">
        <v>17</v>
      </c>
      <c r="B149" s="29" t="s">
        <v>119</v>
      </c>
      <c r="C149" s="70">
        <f>1.383/252</f>
        <v>5.4999999999999997E-3</v>
      </c>
      <c r="D149" s="127">
        <f>C149*$D$145</f>
        <v>16.66</v>
      </c>
    </row>
    <row r="150" spans="1:4" ht="15.75" hidden="1" outlineLevel="2" x14ac:dyDescent="0.25">
      <c r="A150" s="163" t="s">
        <v>19</v>
      </c>
      <c r="B150" s="29" t="s">
        <v>117</v>
      </c>
      <c r="C150" s="70">
        <f>1.3892/252</f>
        <v>5.4999999999999997E-3</v>
      </c>
      <c r="D150" s="127">
        <f t="shared" ref="D150:D153" si="1">C150*$D$145</f>
        <v>16.66</v>
      </c>
    </row>
    <row r="151" spans="1:4" ht="15.75" hidden="1" outlineLevel="2" x14ac:dyDescent="0.25">
      <c r="A151" s="163" t="s">
        <v>22</v>
      </c>
      <c r="B151" s="29" t="s">
        <v>67</v>
      </c>
      <c r="C151" s="70">
        <f>0.65/252</f>
        <v>2.5999999999999999E-3</v>
      </c>
      <c r="D151" s="127">
        <f t="shared" si="1"/>
        <v>7.87</v>
      </c>
    </row>
    <row r="152" spans="1:4" ht="15.75" hidden="1" outlineLevel="2" x14ac:dyDescent="0.25">
      <c r="A152" s="163" t="s">
        <v>24</v>
      </c>
      <c r="B152" s="29" t="s">
        <v>68</v>
      </c>
      <c r="C152" s="70">
        <f>0.5052/252</f>
        <v>2E-3</v>
      </c>
      <c r="D152" s="127">
        <f t="shared" si="1"/>
        <v>6.06</v>
      </c>
    </row>
    <row r="153" spans="1:4" ht="15.75" hidden="1" outlineLevel="2" x14ac:dyDescent="0.25">
      <c r="A153" s="163" t="s">
        <v>36</v>
      </c>
      <c r="B153" s="58" t="s">
        <v>233</v>
      </c>
      <c r="C153" s="62">
        <f>0.2/252</f>
        <v>8.0000000000000004E-4</v>
      </c>
      <c r="D153" s="127">
        <f t="shared" si="1"/>
        <v>2.42</v>
      </c>
    </row>
    <row r="154" spans="1:4" ht="15.75" hidden="1" outlineLevel="1" x14ac:dyDescent="0.25">
      <c r="A154" s="527" t="s">
        <v>224</v>
      </c>
      <c r="B154" s="528"/>
      <c r="C154" s="28">
        <f>SUM(C148:C153)</f>
        <v>3.6200000000000003E-2</v>
      </c>
      <c r="D154" s="109">
        <f>SUM(D148:D153)</f>
        <v>109.63</v>
      </c>
    </row>
    <row r="155" spans="1:4" ht="15.75" hidden="1" outlineLevel="1" x14ac:dyDescent="0.25">
      <c r="A155" s="561"/>
      <c r="B155" s="562"/>
      <c r="C155" s="562"/>
      <c r="D155" s="563"/>
    </row>
    <row r="156" spans="1:4" ht="15.75" hidden="1" outlineLevel="1" x14ac:dyDescent="0.25">
      <c r="A156" s="565" t="s">
        <v>234</v>
      </c>
      <c r="B156" s="572"/>
      <c r="C156" s="28" t="s">
        <v>235</v>
      </c>
      <c r="D156" s="104" t="s">
        <v>35</v>
      </c>
    </row>
    <row r="157" spans="1:4" ht="15.75" hidden="1" outlineLevel="2" x14ac:dyDescent="0.3">
      <c r="A157" s="573" t="s">
        <v>236</v>
      </c>
      <c r="B157" s="136" t="s">
        <v>237</v>
      </c>
      <c r="C157" s="88">
        <f>C153</f>
        <v>8.0000000000000004E-4</v>
      </c>
      <c r="D157" s="141">
        <f>C157*-D140</f>
        <v>-1.19</v>
      </c>
    </row>
    <row r="158" spans="1:4" ht="15.75" hidden="1" outlineLevel="2" x14ac:dyDescent="0.3">
      <c r="A158" s="573"/>
      <c r="B158" s="142" t="s">
        <v>238</v>
      </c>
      <c r="C158" s="89">
        <v>0</v>
      </c>
      <c r="D158" s="143">
        <f>C158*-(D140/220/24*5)</f>
        <v>0</v>
      </c>
    </row>
    <row r="159" spans="1:4" ht="15.75" hidden="1" outlineLevel="2" x14ac:dyDescent="0.3">
      <c r="A159" s="573"/>
      <c r="B159" s="142" t="s">
        <v>239</v>
      </c>
      <c r="C159" s="89">
        <v>0</v>
      </c>
      <c r="D159" s="143">
        <f>C159*-D141</f>
        <v>0</v>
      </c>
    </row>
    <row r="160" spans="1:4" ht="15.75" hidden="1" outlineLevel="2" x14ac:dyDescent="0.3">
      <c r="A160" s="573"/>
      <c r="B160" s="136" t="s">
        <v>240</v>
      </c>
      <c r="C160" s="88">
        <f>C154</f>
        <v>3.6200000000000003E-2</v>
      </c>
      <c r="D160" s="141">
        <f>C160*-D66</f>
        <v>-3.01</v>
      </c>
    </row>
    <row r="161" spans="1:4" ht="15.75" hidden="1" outlineLevel="2" x14ac:dyDescent="0.3">
      <c r="A161" s="573"/>
      <c r="B161" s="136" t="s">
        <v>241</v>
      </c>
      <c r="C161" s="90">
        <f>C154</f>
        <v>3.6200000000000003E-2</v>
      </c>
      <c r="D161" s="144">
        <f>C161*-D69</f>
        <v>-12.01</v>
      </c>
    </row>
    <row r="162" spans="1:4" ht="15.75" hidden="1" outlineLevel="2" x14ac:dyDescent="0.3">
      <c r="A162" s="573"/>
      <c r="B162" s="139" t="s">
        <v>242</v>
      </c>
      <c r="C162" s="90">
        <f>C153</f>
        <v>8.0000000000000004E-4</v>
      </c>
      <c r="D162" s="144">
        <f>C162*-D74</f>
        <v>-0.02</v>
      </c>
    </row>
    <row r="163" spans="1:4" ht="15.75" hidden="1" outlineLevel="2" x14ac:dyDescent="0.25">
      <c r="A163" s="573"/>
      <c r="B163" s="139" t="s">
        <v>243</v>
      </c>
      <c r="C163" s="91">
        <f>C152</f>
        <v>2E-3</v>
      </c>
      <c r="D163" s="145">
        <f>C163*-SUM(D55:D61)</f>
        <v>-0.93</v>
      </c>
    </row>
    <row r="164" spans="1:4" ht="15.75" hidden="1" outlineLevel="2" x14ac:dyDescent="0.3">
      <c r="A164" s="573"/>
      <c r="B164" s="136" t="s">
        <v>244</v>
      </c>
      <c r="C164" s="88">
        <f>C153</f>
        <v>8.0000000000000004E-4</v>
      </c>
      <c r="D164" s="141">
        <f>C164*-D142</f>
        <v>-0.52</v>
      </c>
    </row>
    <row r="165" spans="1:4" ht="15.75" hidden="1" outlineLevel="1" x14ac:dyDescent="0.25">
      <c r="A165" s="527" t="s">
        <v>245</v>
      </c>
      <c r="B165" s="528"/>
      <c r="C165" s="28">
        <f>D165/D140</f>
        <v>-1.1900000000000001E-2</v>
      </c>
      <c r="D165" s="109">
        <f>SUM(D157:D164)</f>
        <v>-17.68</v>
      </c>
    </row>
    <row r="166" spans="1:4" ht="15.75" hidden="1" outlineLevel="1" x14ac:dyDescent="0.25">
      <c r="A166" s="561"/>
      <c r="B166" s="562"/>
      <c r="C166" s="562"/>
      <c r="D166" s="563"/>
    </row>
    <row r="167" spans="1:4" ht="15.75" hidden="1" outlineLevel="1" x14ac:dyDescent="0.25">
      <c r="A167" s="527" t="s">
        <v>246</v>
      </c>
      <c r="B167" s="528"/>
      <c r="C167" s="28">
        <f>D167/D140</f>
        <v>6.1800000000000001E-2</v>
      </c>
      <c r="D167" s="109">
        <f>D154+D165</f>
        <v>91.95</v>
      </c>
    </row>
    <row r="168" spans="1:4" ht="15.75" hidden="1" outlineLevel="1" x14ac:dyDescent="0.25">
      <c r="A168" s="561"/>
      <c r="B168" s="562"/>
      <c r="C168" s="562"/>
      <c r="D168" s="563"/>
    </row>
    <row r="169" spans="1:4" ht="15.75" hidden="1" outlineLevel="1" x14ac:dyDescent="0.25">
      <c r="A169" s="565" t="s">
        <v>247</v>
      </c>
      <c r="B169" s="566"/>
      <c r="C169" s="104" t="s">
        <v>44</v>
      </c>
      <c r="D169" s="104" t="s">
        <v>35</v>
      </c>
    </row>
    <row r="170" spans="1:4" ht="15.75" hidden="1" outlineLevel="1" x14ac:dyDescent="0.25">
      <c r="A170" s="163" t="s">
        <v>65</v>
      </c>
      <c r="B170" s="29" t="s">
        <v>212</v>
      </c>
      <c r="C170" s="32"/>
      <c r="D170" s="146">
        <f>D138</f>
        <v>0</v>
      </c>
    </row>
    <row r="171" spans="1:4" ht="15.75" hidden="1" outlineLevel="1" x14ac:dyDescent="0.25">
      <c r="A171" s="163" t="s">
        <v>231</v>
      </c>
      <c r="B171" s="29" t="s">
        <v>232</v>
      </c>
      <c r="C171" s="32"/>
      <c r="D171" s="146">
        <f>D167</f>
        <v>91.95</v>
      </c>
    </row>
    <row r="172" spans="1:4" ht="15.75" collapsed="1" x14ac:dyDescent="0.25">
      <c r="A172" s="527" t="s">
        <v>11</v>
      </c>
      <c r="B172" s="564"/>
      <c r="C172" s="528"/>
      <c r="D172" s="147">
        <f>SUM(D170:D171)</f>
        <v>91.95</v>
      </c>
    </row>
    <row r="173" spans="1:4" ht="15.75" x14ac:dyDescent="0.25">
      <c r="A173" s="561"/>
      <c r="B173" s="562"/>
      <c r="C173" s="562"/>
      <c r="D173" s="563"/>
    </row>
    <row r="174" spans="1:4" ht="15.75" x14ac:dyDescent="0.25">
      <c r="A174" s="532" t="s">
        <v>69</v>
      </c>
      <c r="B174" s="533"/>
      <c r="C174" s="533"/>
      <c r="D174" s="534"/>
    </row>
    <row r="175" spans="1:4" ht="15.75" hidden="1" outlineLevel="1" x14ac:dyDescent="0.25">
      <c r="A175" s="561"/>
      <c r="B175" s="562"/>
      <c r="C175" s="562"/>
      <c r="D175" s="563"/>
    </row>
    <row r="176" spans="1:4" ht="15.75" hidden="1" outlineLevel="1" x14ac:dyDescent="0.25">
      <c r="A176" s="173">
        <v>5</v>
      </c>
      <c r="B176" s="527" t="s">
        <v>248</v>
      </c>
      <c r="C176" s="528"/>
      <c r="D176" s="104" t="s">
        <v>35</v>
      </c>
    </row>
    <row r="177" spans="1:4" ht="15.75" hidden="1" outlineLevel="1" x14ac:dyDescent="0.25">
      <c r="A177" s="174" t="s">
        <v>36</v>
      </c>
      <c r="B177" s="581" t="s">
        <v>324</v>
      </c>
      <c r="C177" s="582"/>
      <c r="D177" s="127">
        <f>INSUMOS!H12</f>
        <v>25.07</v>
      </c>
    </row>
    <row r="178" spans="1:4" ht="15.75" hidden="1" outlineLevel="1" x14ac:dyDescent="0.25">
      <c r="A178" s="174" t="s">
        <v>16</v>
      </c>
      <c r="B178" s="581" t="s">
        <v>341</v>
      </c>
      <c r="C178" s="582"/>
      <c r="D178" s="148">
        <f>INSUMOS!H24</f>
        <v>89.51</v>
      </c>
    </row>
    <row r="179" spans="1:4" ht="15.75" hidden="1" outlineLevel="1" x14ac:dyDescent="0.25">
      <c r="A179" s="174" t="s">
        <v>17</v>
      </c>
      <c r="B179" s="513" t="s">
        <v>315</v>
      </c>
      <c r="C179" s="514"/>
      <c r="D179" s="148">
        <f>MATERIAIS!H109</f>
        <v>1889.18</v>
      </c>
    </row>
    <row r="180" spans="1:4" ht="15.75" hidden="1" outlineLevel="1" x14ac:dyDescent="0.25">
      <c r="A180" s="174" t="s">
        <v>19</v>
      </c>
      <c r="B180" s="513" t="s">
        <v>314</v>
      </c>
      <c r="C180" s="514"/>
      <c r="D180" s="148">
        <f>EQUIPAMENTOS!I111</f>
        <v>110.2</v>
      </c>
    </row>
    <row r="181" spans="1:4" ht="15.75" hidden="1" outlineLevel="1" x14ac:dyDescent="0.25">
      <c r="A181" s="174" t="s">
        <v>22</v>
      </c>
      <c r="B181" s="515" t="s">
        <v>39</v>
      </c>
      <c r="C181" s="516"/>
      <c r="D181" s="124">
        <v>0</v>
      </c>
    </row>
    <row r="182" spans="1:4" ht="15.75" hidden="1" outlineLevel="1" x14ac:dyDescent="0.25">
      <c r="A182" s="174" t="s">
        <v>24</v>
      </c>
      <c r="B182" s="515" t="s">
        <v>39</v>
      </c>
      <c r="C182" s="516"/>
      <c r="D182" s="124">
        <v>0</v>
      </c>
    </row>
    <row r="183" spans="1:4" ht="15.75" collapsed="1" x14ac:dyDescent="0.25">
      <c r="A183" s="527" t="s">
        <v>11</v>
      </c>
      <c r="B183" s="564"/>
      <c r="C183" s="528"/>
      <c r="D183" s="149">
        <f>SUM(D177:D181)</f>
        <v>2113.96</v>
      </c>
    </row>
    <row r="184" spans="1:4" ht="15.75" x14ac:dyDescent="0.25">
      <c r="A184" s="529"/>
      <c r="B184" s="530"/>
      <c r="C184" s="530"/>
      <c r="D184" s="531"/>
    </row>
    <row r="185" spans="1:4" ht="15.75" x14ac:dyDescent="0.25">
      <c r="A185" s="587" t="s">
        <v>70</v>
      </c>
      <c r="B185" s="587"/>
      <c r="C185" s="587"/>
      <c r="D185" s="150">
        <f>D39+D83+D126+D172+D183</f>
        <v>5173.37</v>
      </c>
    </row>
    <row r="186" spans="1:4" ht="15.75" x14ac:dyDescent="0.25">
      <c r="A186" s="543"/>
      <c r="B186" s="543"/>
      <c r="C186" s="543"/>
      <c r="D186" s="543"/>
    </row>
    <row r="187" spans="1:4" ht="15.75" x14ac:dyDescent="0.25">
      <c r="A187" s="588" t="s">
        <v>71</v>
      </c>
      <c r="B187" s="588"/>
      <c r="C187" s="588"/>
      <c r="D187" s="588"/>
    </row>
    <row r="188" spans="1:4" ht="15.75" hidden="1" outlineLevel="1" x14ac:dyDescent="0.25">
      <c r="A188" s="589"/>
      <c r="B188" s="590"/>
      <c r="C188" s="590"/>
      <c r="D188" s="591"/>
    </row>
    <row r="189" spans="1:4" ht="15.75" hidden="1" outlineLevel="1" x14ac:dyDescent="0.25">
      <c r="A189" s="166">
        <v>6</v>
      </c>
      <c r="B189" s="110" t="s">
        <v>72</v>
      </c>
      <c r="C189" s="104" t="s">
        <v>44</v>
      </c>
      <c r="D189" s="104" t="s">
        <v>35</v>
      </c>
    </row>
    <row r="190" spans="1:4" ht="15.75" hidden="1" outlineLevel="1" x14ac:dyDescent="0.25">
      <c r="A190" s="163" t="s">
        <v>36</v>
      </c>
      <c r="B190" s="29" t="s">
        <v>73</v>
      </c>
      <c r="C190" s="63">
        <f>'ASG - Superintendencia (Int)'!C190</f>
        <v>0.05</v>
      </c>
      <c r="D190" s="99">
        <f>C190*D185</f>
        <v>258.67</v>
      </c>
    </row>
    <row r="191" spans="1:4" ht="15.75" hidden="1" outlineLevel="1" x14ac:dyDescent="0.25">
      <c r="A191" s="583" t="s">
        <v>1</v>
      </c>
      <c r="B191" s="584"/>
      <c r="C191" s="586"/>
      <c r="D191" s="99">
        <f>D185+D190</f>
        <v>5432.04</v>
      </c>
    </row>
    <row r="192" spans="1:4" ht="15.75" hidden="1" outlineLevel="1" x14ac:dyDescent="0.25">
      <c r="A192" s="163" t="s">
        <v>16</v>
      </c>
      <c r="B192" s="29" t="s">
        <v>74</v>
      </c>
      <c r="C192" s="63">
        <f>'ASG - Superintendencia (Int)'!C192</f>
        <v>0.05</v>
      </c>
      <c r="D192" s="99">
        <f>C192*D191</f>
        <v>271.60000000000002</v>
      </c>
    </row>
    <row r="193" spans="1:4" ht="15.75" hidden="1" outlineLevel="1" x14ac:dyDescent="0.25">
      <c r="A193" s="583" t="s">
        <v>1</v>
      </c>
      <c r="B193" s="584"/>
      <c r="C193" s="584"/>
      <c r="D193" s="99">
        <f>D192+D191</f>
        <v>5703.64</v>
      </c>
    </row>
    <row r="194" spans="1:4" ht="15.75" hidden="1" outlineLevel="1" x14ac:dyDescent="0.25">
      <c r="A194" s="163" t="s">
        <v>17</v>
      </c>
      <c r="B194" s="513" t="s">
        <v>75</v>
      </c>
      <c r="C194" s="585"/>
      <c r="D194" s="514"/>
    </row>
    <row r="195" spans="1:4" ht="15.75" hidden="1" outlineLevel="1" x14ac:dyDescent="0.25">
      <c r="A195" s="151"/>
      <c r="B195" s="164" t="s">
        <v>76</v>
      </c>
      <c r="C195" s="63">
        <v>6.4999999999999997E-3</v>
      </c>
      <c r="D195" s="99">
        <f>(D193/(1-C198)*C195)</f>
        <v>39.71</v>
      </c>
    </row>
    <row r="196" spans="1:4" ht="15.75" hidden="1" outlineLevel="1" x14ac:dyDescent="0.25">
      <c r="A196" s="151"/>
      <c r="B196" s="164" t="s">
        <v>77</v>
      </c>
      <c r="C196" s="63">
        <v>0.03</v>
      </c>
      <c r="D196" s="99">
        <f>(D193/(1-C198)*C196)</f>
        <v>183.3</v>
      </c>
    </row>
    <row r="197" spans="1:4" ht="15.75" hidden="1" outlineLevel="1" x14ac:dyDescent="0.25">
      <c r="A197" s="151"/>
      <c r="B197" s="164" t="s">
        <v>442</v>
      </c>
      <c r="C197" s="50">
        <v>0.03</v>
      </c>
      <c r="D197" s="99">
        <f>(D193/(1-C198)*C197)</f>
        <v>183.3</v>
      </c>
    </row>
    <row r="198" spans="1:4" ht="15.75" hidden="1" outlineLevel="1" x14ac:dyDescent="0.25">
      <c r="A198" s="583" t="s">
        <v>78</v>
      </c>
      <c r="B198" s="586"/>
      <c r="C198" s="51">
        <f>SUM(C195:C197)</f>
        <v>6.6500000000000004E-2</v>
      </c>
      <c r="D198" s="99">
        <f>SUM(D195:D197)</f>
        <v>406.31</v>
      </c>
    </row>
    <row r="199" spans="1:4" ht="15.75" collapsed="1" x14ac:dyDescent="0.25">
      <c r="A199" s="527" t="s">
        <v>11</v>
      </c>
      <c r="B199" s="528"/>
      <c r="C199" s="52">
        <f>(1+C190)*(1+C192)*(1/(1-C198))-1</f>
        <v>0.18099999999999999</v>
      </c>
      <c r="D199" s="102">
        <f>SUM(D198+D190+D192)</f>
        <v>936.58</v>
      </c>
    </row>
    <row r="200" spans="1:4" ht="15.75" x14ac:dyDescent="0.25">
      <c r="A200" s="529"/>
      <c r="B200" s="530"/>
      <c r="C200" s="530"/>
      <c r="D200" s="531"/>
    </row>
    <row r="201" spans="1:4" ht="15.75" x14ac:dyDescent="0.25">
      <c r="A201" s="540" t="s">
        <v>79</v>
      </c>
      <c r="B201" s="542"/>
      <c r="C201" s="541"/>
      <c r="D201" s="53" t="s">
        <v>35</v>
      </c>
    </row>
    <row r="202" spans="1:4" ht="15.75" x14ac:dyDescent="0.25">
      <c r="A202" s="525" t="s">
        <v>80</v>
      </c>
      <c r="B202" s="595"/>
      <c r="C202" s="595"/>
      <c r="D202" s="526"/>
    </row>
    <row r="203" spans="1:4" ht="15.75" x14ac:dyDescent="0.25">
      <c r="A203" s="165" t="s">
        <v>36</v>
      </c>
      <c r="B203" s="525" t="s">
        <v>81</v>
      </c>
      <c r="C203" s="526"/>
      <c r="D203" s="98">
        <f>D39</f>
        <v>1488</v>
      </c>
    </row>
    <row r="204" spans="1:4" ht="15.75" x14ac:dyDescent="0.25">
      <c r="A204" s="165" t="s">
        <v>16</v>
      </c>
      <c r="B204" s="525" t="s">
        <v>82</v>
      </c>
      <c r="C204" s="526"/>
      <c r="D204" s="98">
        <f>D83</f>
        <v>1171.0999999999999</v>
      </c>
    </row>
    <row r="205" spans="1:4" ht="15.75" x14ac:dyDescent="0.25">
      <c r="A205" s="165" t="s">
        <v>17</v>
      </c>
      <c r="B205" s="525" t="s">
        <v>83</v>
      </c>
      <c r="C205" s="526"/>
      <c r="D205" s="98">
        <f>D126</f>
        <v>308.36</v>
      </c>
    </row>
    <row r="206" spans="1:4" ht="15.75" x14ac:dyDescent="0.25">
      <c r="A206" s="165" t="s">
        <v>19</v>
      </c>
      <c r="B206" s="525" t="s">
        <v>84</v>
      </c>
      <c r="C206" s="526"/>
      <c r="D206" s="98">
        <f>D172</f>
        <v>91.95</v>
      </c>
    </row>
    <row r="207" spans="1:4" ht="15.75" x14ac:dyDescent="0.25">
      <c r="A207" s="165" t="s">
        <v>22</v>
      </c>
      <c r="B207" s="525" t="s">
        <v>85</v>
      </c>
      <c r="C207" s="526"/>
      <c r="D207" s="98">
        <f>D183</f>
        <v>2113.96</v>
      </c>
    </row>
    <row r="208" spans="1:4" ht="15.75" x14ac:dyDescent="0.3">
      <c r="A208" s="592" t="s">
        <v>86</v>
      </c>
      <c r="B208" s="593"/>
      <c r="C208" s="594"/>
      <c r="D208" s="98">
        <f>SUM(D203:D207)</f>
        <v>5173.37</v>
      </c>
    </row>
    <row r="209" spans="1:4" ht="15.75" x14ac:dyDescent="0.25">
      <c r="A209" s="165" t="s">
        <v>87</v>
      </c>
      <c r="B209" s="525" t="s">
        <v>88</v>
      </c>
      <c r="C209" s="526"/>
      <c r="D209" s="98">
        <f>D199</f>
        <v>936.58</v>
      </c>
    </row>
    <row r="210" spans="1:4" ht="15.75" x14ac:dyDescent="0.25">
      <c r="A210" s="540" t="s">
        <v>89</v>
      </c>
      <c r="B210" s="542"/>
      <c r="C210" s="541"/>
      <c r="D210" s="152">
        <f xml:space="preserve"> D208+D209</f>
        <v>6109.95</v>
      </c>
    </row>
    <row r="211" spans="1:4" ht="15.75" x14ac:dyDescent="0.3">
      <c r="A211" s="22"/>
      <c r="B211" s="22"/>
      <c r="C211" s="22"/>
      <c r="D211" s="22"/>
    </row>
    <row r="212" spans="1:4" ht="15.75" thickBot="1" x14ac:dyDescent="0.3">
      <c r="A212" s="17"/>
      <c r="B212" s="17"/>
      <c r="C212" s="17"/>
      <c r="D212" s="17"/>
    </row>
    <row r="213" spans="1:4" ht="15.75" x14ac:dyDescent="0.25">
      <c r="A213" s="510" t="s">
        <v>274</v>
      </c>
      <c r="B213" s="511"/>
      <c r="C213" s="511"/>
      <c r="D213" s="512"/>
    </row>
    <row r="214" spans="1:4" ht="31.5" x14ac:dyDescent="0.25">
      <c r="A214" s="175" t="s">
        <v>275</v>
      </c>
      <c r="B214" s="176" t="s">
        <v>278</v>
      </c>
      <c r="C214" s="177" t="s">
        <v>276</v>
      </c>
      <c r="D214" s="178" t="s">
        <v>277</v>
      </c>
    </row>
    <row r="215" spans="1:4" ht="16.5" thickBot="1" x14ac:dyDescent="0.3">
      <c r="A215" s="179">
        <v>1</v>
      </c>
      <c r="B215" s="181">
        <f>1/(C11/A215)</f>
        <v>1.3856172924999999E-3</v>
      </c>
      <c r="C215" s="180">
        <f>D210</f>
        <v>6109.95</v>
      </c>
      <c r="D215" s="182">
        <f>C215*B215</f>
        <v>8.4660523760000004</v>
      </c>
    </row>
  </sheetData>
  <mergeCells count="108">
    <mergeCell ref="A208:C208"/>
    <mergeCell ref="B209:C209"/>
    <mergeCell ref="A210:C210"/>
    <mergeCell ref="A202:D202"/>
    <mergeCell ref="B203:C203"/>
    <mergeCell ref="B204:C204"/>
    <mergeCell ref="B205:C205"/>
    <mergeCell ref="B206:C206"/>
    <mergeCell ref="B207:C207"/>
    <mergeCell ref="A193:C193"/>
    <mergeCell ref="B194:D194"/>
    <mergeCell ref="A198:B198"/>
    <mergeCell ref="A199:B199"/>
    <mergeCell ref="A200:D200"/>
    <mergeCell ref="A201:C201"/>
    <mergeCell ref="A184:D184"/>
    <mergeCell ref="A185:C185"/>
    <mergeCell ref="A186:D186"/>
    <mergeCell ref="A187:D187"/>
    <mergeCell ref="A188:D188"/>
    <mergeCell ref="A191:C191"/>
    <mergeCell ref="B176:C176"/>
    <mergeCell ref="B177:C177"/>
    <mergeCell ref="B178:C178"/>
    <mergeCell ref="B179:C179"/>
    <mergeCell ref="B182:C182"/>
    <mergeCell ref="A183:C183"/>
    <mergeCell ref="A168:D168"/>
    <mergeCell ref="A169:B169"/>
    <mergeCell ref="A172:C172"/>
    <mergeCell ref="A173:D173"/>
    <mergeCell ref="A174:D174"/>
    <mergeCell ref="A175:D175"/>
    <mergeCell ref="A155:D155"/>
    <mergeCell ref="A156:B156"/>
    <mergeCell ref="A157:A164"/>
    <mergeCell ref="A165:B165"/>
    <mergeCell ref="A166:D166"/>
    <mergeCell ref="A167:B167"/>
    <mergeCell ref="A138:B138"/>
    <mergeCell ref="A139:D139"/>
    <mergeCell ref="A140:A144"/>
    <mergeCell ref="A145:B145"/>
    <mergeCell ref="A146:D146"/>
    <mergeCell ref="A154:B154"/>
    <mergeCell ref="A123:B123"/>
    <mergeCell ref="A124:B124"/>
    <mergeCell ref="A126:B126"/>
    <mergeCell ref="A127:D127"/>
    <mergeCell ref="A128:D128"/>
    <mergeCell ref="A129:D129"/>
    <mergeCell ref="A112:D112"/>
    <mergeCell ref="A116:B116"/>
    <mergeCell ref="A117:D117"/>
    <mergeCell ref="A118:B118"/>
    <mergeCell ref="A121:C121"/>
    <mergeCell ref="A122:B122"/>
    <mergeCell ref="A84:D84"/>
    <mergeCell ref="A85:D85"/>
    <mergeCell ref="A86:D86"/>
    <mergeCell ref="A99:B99"/>
    <mergeCell ref="A100:D100"/>
    <mergeCell ref="A111:B111"/>
    <mergeCell ref="A63:B63"/>
    <mergeCell ref="A64:D64"/>
    <mergeCell ref="A77:C77"/>
    <mergeCell ref="A78:D78"/>
    <mergeCell ref="A79:B79"/>
    <mergeCell ref="A83:C83"/>
    <mergeCell ref="A1:D1"/>
    <mergeCell ref="A2:B2"/>
    <mergeCell ref="C2:D2"/>
    <mergeCell ref="A3:B3"/>
    <mergeCell ref="C3:D3"/>
    <mergeCell ref="A4:D4"/>
    <mergeCell ref="C17:D17"/>
    <mergeCell ref="A18:D18"/>
    <mergeCell ref="B19:C19"/>
    <mergeCell ref="C11:D11"/>
    <mergeCell ref="C12:D12"/>
    <mergeCell ref="A13:D13"/>
    <mergeCell ref="A14:D14"/>
    <mergeCell ref="A15:D15"/>
    <mergeCell ref="C16:D16"/>
    <mergeCell ref="A213:D213"/>
    <mergeCell ref="B180:C180"/>
    <mergeCell ref="B181:C181"/>
    <mergeCell ref="A5:D5"/>
    <mergeCell ref="C6:D6"/>
    <mergeCell ref="C7:D7"/>
    <mergeCell ref="C8:D8"/>
    <mergeCell ref="C9:D9"/>
    <mergeCell ref="C10:D10"/>
    <mergeCell ref="B20:C20"/>
    <mergeCell ref="B21:C21"/>
    <mergeCell ref="B22:C22"/>
    <mergeCell ref="A45:B45"/>
    <mergeCell ref="A46:D46"/>
    <mergeCell ref="A47:D47"/>
    <mergeCell ref="A48:D48"/>
    <mergeCell ref="A52:B52"/>
    <mergeCell ref="A53:D53"/>
    <mergeCell ref="A23:D23"/>
    <mergeCell ref="A24:D24"/>
    <mergeCell ref="A25:D25"/>
    <mergeCell ref="B26:C26"/>
    <mergeCell ref="A39:C39"/>
    <mergeCell ref="A40:D40"/>
  </mergeCells>
  <pageMargins left="0.51181102362204722" right="0.51181102362204722" top="0.78740157480314965" bottom="0.78740157480314965" header="0.31496062992125984" footer="0.31496062992125984"/>
  <pageSetup scale="68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H20"/>
  <sheetViews>
    <sheetView workbookViewId="0">
      <selection activeCell="B9" sqref="B9"/>
    </sheetView>
  </sheetViews>
  <sheetFormatPr defaultRowHeight="15" x14ac:dyDescent="0.25"/>
  <cols>
    <col min="1" max="1" width="10.140625" style="8" bestFit="1" customWidth="1"/>
    <col min="2" max="2" width="9.140625" style="8"/>
    <col min="3" max="3" width="12.5703125" customWidth="1"/>
    <col min="4" max="4" width="13.28515625" bestFit="1" customWidth="1"/>
    <col min="5" max="5" width="15.85546875" bestFit="1" customWidth="1"/>
    <col min="7" max="7" width="15.85546875" bestFit="1" customWidth="1"/>
    <col min="8" max="8" width="8.5703125" bestFit="1" customWidth="1"/>
  </cols>
  <sheetData>
    <row r="2" spans="1:8" x14ac:dyDescent="0.25">
      <c r="A2" s="8" t="s">
        <v>128</v>
      </c>
      <c r="B2" s="8" t="s">
        <v>129</v>
      </c>
    </row>
    <row r="3" spans="1:8" x14ac:dyDescent="0.25">
      <c r="A3" s="8">
        <v>5.5250000000000004E-3</v>
      </c>
      <c r="B3" s="8">
        <v>5.5250000000000004E-3</v>
      </c>
      <c r="C3" s="7"/>
      <c r="D3" s="7"/>
      <c r="E3" s="7"/>
      <c r="F3" s="7"/>
      <c r="G3" s="7"/>
      <c r="H3" s="7"/>
    </row>
    <row r="4" spans="1:8" x14ac:dyDescent="0.25">
      <c r="A4" s="8">
        <v>2.7230000000000002E-3</v>
      </c>
      <c r="B4" s="8">
        <v>2.7230000000000002E-3</v>
      </c>
      <c r="C4" s="7"/>
      <c r="D4" s="7"/>
      <c r="E4" s="7"/>
      <c r="F4" s="7"/>
      <c r="G4" s="7"/>
      <c r="H4" s="7"/>
    </row>
    <row r="5" spans="1:8" x14ac:dyDescent="0.25">
      <c r="A5" s="8">
        <v>5.4099999999999999E-3</v>
      </c>
      <c r="B5" s="8">
        <v>5.4099999999999999E-3</v>
      </c>
      <c r="C5" s="7"/>
      <c r="D5" s="7"/>
      <c r="E5" s="7"/>
      <c r="F5" s="7"/>
      <c r="G5" s="7"/>
      <c r="H5" s="7"/>
    </row>
    <row r="6" spans="1:8" x14ac:dyDescent="0.25">
      <c r="A6" s="8">
        <v>6.1669999999999997E-3</v>
      </c>
      <c r="B6" s="8">
        <v>6.1669999999999997E-3</v>
      </c>
      <c r="C6" s="7"/>
      <c r="D6" s="7"/>
      <c r="E6" s="7"/>
      <c r="F6" s="7"/>
      <c r="G6" s="7"/>
      <c r="H6" s="7"/>
    </row>
    <row r="7" spans="1:8" x14ac:dyDescent="0.25">
      <c r="A7" s="8">
        <v>6.0489999999999997E-3</v>
      </c>
      <c r="B7" s="8">
        <v>6.0489999999999997E-3</v>
      </c>
      <c r="C7" s="7"/>
      <c r="D7" s="7"/>
      <c r="E7" s="7"/>
      <c r="F7" s="7"/>
      <c r="G7" s="7"/>
      <c r="H7" s="7"/>
    </row>
    <row r="8" spans="1:8" x14ac:dyDescent="0.25">
      <c r="A8" s="8">
        <v>7.4949999999999999E-3</v>
      </c>
      <c r="B8" s="8">
        <v>7.4949999999999999E-3</v>
      </c>
      <c r="C8" s="7"/>
      <c r="D8" s="7"/>
      <c r="E8" s="7"/>
      <c r="F8" s="7"/>
      <c r="G8" s="7"/>
      <c r="H8" s="7"/>
    </row>
    <row r="9" spans="1:8" x14ac:dyDescent="0.25">
      <c r="A9" s="8">
        <v>5.581E-3</v>
      </c>
      <c r="B9" s="8">
        <v>5.581E-3</v>
      </c>
      <c r="C9" s="7"/>
      <c r="D9" s="7"/>
      <c r="E9" s="7"/>
      <c r="F9" s="7"/>
      <c r="G9" s="7"/>
      <c r="H9" s="7"/>
    </row>
    <row r="10" spans="1:8" x14ac:dyDescent="0.25">
      <c r="A10" s="8">
        <v>1.5701E-2</v>
      </c>
      <c r="B10" s="8">
        <v>1.5701E-2</v>
      </c>
      <c r="C10" s="7"/>
      <c r="D10" s="7"/>
      <c r="E10" s="7"/>
      <c r="F10" s="7"/>
      <c r="G10" s="7"/>
      <c r="H10" s="7"/>
    </row>
    <row r="11" spans="1:8" x14ac:dyDescent="0.25">
      <c r="A11" s="8">
        <v>5.9930000000000001E-3</v>
      </c>
      <c r="B11" s="8">
        <v>5.9930000000000001E-3</v>
      </c>
      <c r="C11" s="7"/>
      <c r="D11" s="7"/>
      <c r="E11" s="7"/>
      <c r="F11" s="7"/>
      <c r="G11" s="7"/>
      <c r="H11" s="7"/>
    </row>
    <row r="12" spans="1:8" x14ac:dyDescent="0.25">
      <c r="A12" s="8">
        <v>1.2713E-2</v>
      </c>
      <c r="B12" s="8">
        <v>1.2713E-2</v>
      </c>
      <c r="C12" s="7"/>
      <c r="D12" s="7"/>
      <c r="E12" s="7"/>
      <c r="F12" s="7"/>
      <c r="G12" s="7"/>
      <c r="H12" s="7"/>
    </row>
    <row r="13" spans="1:8" x14ac:dyDescent="0.25">
      <c r="A13" s="8">
        <v>5.8789999999999997E-3</v>
      </c>
      <c r="B13" s="8">
        <v>5.8789999999999997E-3</v>
      </c>
      <c r="C13" s="7"/>
      <c r="D13" s="7"/>
      <c r="E13" s="7"/>
      <c r="F13" s="7"/>
      <c r="G13" s="7"/>
      <c r="H13" s="7"/>
    </row>
    <row r="14" spans="1:8" x14ac:dyDescent="0.25">
      <c r="A14" s="8">
        <v>1.2600999999999999E-2</v>
      </c>
      <c r="B14" s="8">
        <v>1.2600999999999999E-2</v>
      </c>
      <c r="C14" s="7"/>
      <c r="D14" s="7"/>
      <c r="E14" s="7"/>
      <c r="F14" s="7"/>
      <c r="G14" s="7"/>
      <c r="H14" s="7"/>
    </row>
    <row r="15" spans="1:8" x14ac:dyDescent="0.25">
      <c r="A15" s="8">
        <v>6.2729999999999999E-3</v>
      </c>
      <c r="B15" s="8">
        <v>6.2729999999999999E-3</v>
      </c>
      <c r="C15" s="7"/>
      <c r="D15" s="7"/>
      <c r="E15" s="7"/>
      <c r="F15" s="7"/>
      <c r="G15" s="7"/>
      <c r="H15" s="7"/>
    </row>
    <row r="16" spans="1:8" x14ac:dyDescent="0.25">
      <c r="A16" s="8">
        <v>1.3356E-2</v>
      </c>
      <c r="B16" s="8">
        <v>1.3356E-2</v>
      </c>
      <c r="C16" s="7"/>
      <c r="D16" s="7"/>
      <c r="E16" s="7"/>
      <c r="F16" s="7"/>
      <c r="G16" s="7"/>
      <c r="H16" s="7"/>
    </row>
    <row r="17" spans="1:8" x14ac:dyDescent="0.25">
      <c r="A17" s="8">
        <v>6.7580000000000001E-3</v>
      </c>
      <c r="B17" s="8">
        <v>6.7580000000000001E-3</v>
      </c>
      <c r="C17" s="7"/>
      <c r="D17" s="7"/>
      <c r="E17" s="7"/>
      <c r="F17" s="7"/>
      <c r="G17" s="7"/>
      <c r="H17" s="7"/>
    </row>
    <row r="18" spans="1:8" x14ac:dyDescent="0.25">
      <c r="A18" s="8">
        <v>1.3488E-2</v>
      </c>
      <c r="B18" s="8">
        <v>1.3488E-2</v>
      </c>
      <c r="C18" s="7"/>
      <c r="D18" s="7"/>
      <c r="E18" s="7"/>
      <c r="F18" s="7"/>
      <c r="G18" s="7"/>
      <c r="H18" s="7"/>
    </row>
    <row r="19" spans="1:8" x14ac:dyDescent="0.25">
      <c r="C19" s="7"/>
      <c r="F19" s="7"/>
      <c r="G19" s="7"/>
    </row>
    <row r="20" spans="1:8" x14ac:dyDescent="0.25">
      <c r="G20" s="7"/>
    </row>
  </sheetData>
  <conditionalFormatting sqref="H3:H18">
    <cfRule type="cellIs" dxfId="1" priority="2" operator="greaterThan">
      <formula>0</formula>
    </cfRule>
  </conditionalFormatting>
  <conditionalFormatting sqref="C3:C18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A434-E97B-44B4-BA5B-9938228509D7}">
  <sheetPr codeName="Planilha3">
    <tabColor rgb="FF00B0F0"/>
    <pageSetUpPr fitToPage="1"/>
  </sheetPr>
  <dimension ref="A1:N17"/>
  <sheetViews>
    <sheetView tabSelected="1" view="pageBreakPreview" zoomScale="90" zoomScaleNormal="100" zoomScaleSheetLayoutView="90" workbookViewId="0">
      <selection activeCell="C7" sqref="C7"/>
    </sheetView>
  </sheetViews>
  <sheetFormatPr defaultColWidth="9.140625" defaultRowHeight="15" x14ac:dyDescent="0.25"/>
  <cols>
    <col min="1" max="1" width="3.140625" customWidth="1"/>
    <col min="2" max="2" width="6" customWidth="1"/>
    <col min="3" max="3" width="44.42578125" customWidth="1"/>
    <col min="4" max="4" width="36.85546875" bestFit="1" customWidth="1"/>
    <col min="5" max="5" width="19.85546875" customWidth="1"/>
    <col min="6" max="6" width="13.5703125" customWidth="1"/>
    <col min="7" max="7" width="13.5703125" style="19" customWidth="1"/>
    <col min="8" max="8" width="16.5703125" customWidth="1"/>
    <col min="9" max="9" width="12.85546875" customWidth="1"/>
    <col min="10" max="10" width="18.28515625" customWidth="1"/>
    <col min="11" max="11" width="4.140625" customWidth="1"/>
    <col min="13" max="13" width="12.140625" customWidth="1"/>
    <col min="14" max="14" width="12.140625" bestFit="1" customWidth="1"/>
    <col min="16384" max="16384" width="3.140625" customWidth="1"/>
  </cols>
  <sheetData>
    <row r="1" spans="1:14" ht="14.25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0.25" x14ac:dyDescent="0.25">
      <c r="A2" s="20"/>
      <c r="B2" s="313" t="s">
        <v>135</v>
      </c>
      <c r="C2" s="314"/>
      <c r="D2" s="314"/>
      <c r="E2" s="314"/>
      <c r="F2" s="314"/>
      <c r="G2" s="314"/>
      <c r="H2" s="314"/>
      <c r="I2" s="314"/>
      <c r="J2" s="315"/>
      <c r="K2" s="20"/>
    </row>
    <row r="3" spans="1:14" ht="19.5" thickBot="1" x14ac:dyDescent="0.3">
      <c r="A3" s="20"/>
      <c r="B3" s="316" t="s">
        <v>136</v>
      </c>
      <c r="C3" s="317"/>
      <c r="D3" s="317"/>
      <c r="E3" s="317"/>
      <c r="F3" s="317"/>
      <c r="G3" s="317"/>
      <c r="H3" s="317"/>
      <c r="I3" s="317"/>
      <c r="J3" s="318"/>
      <c r="K3" s="20"/>
    </row>
    <row r="4" spans="1:14" ht="32.25" thickBot="1" x14ac:dyDescent="0.3">
      <c r="A4" s="20"/>
      <c r="B4" s="270" t="s">
        <v>137</v>
      </c>
      <c r="C4" s="271" t="s">
        <v>138</v>
      </c>
      <c r="D4" s="271" t="s">
        <v>139</v>
      </c>
      <c r="E4" s="270" t="s">
        <v>140</v>
      </c>
      <c r="F4" s="270" t="s">
        <v>273</v>
      </c>
      <c r="G4" s="270" t="s">
        <v>280</v>
      </c>
      <c r="H4" s="270" t="s">
        <v>141</v>
      </c>
      <c r="I4" s="270" t="s">
        <v>428</v>
      </c>
      <c r="J4" s="270" t="s">
        <v>142</v>
      </c>
      <c r="K4" s="20"/>
      <c r="N4" s="183"/>
    </row>
    <row r="5" spans="1:14" ht="31.5" x14ac:dyDescent="0.25">
      <c r="A5" s="20"/>
      <c r="B5" s="273">
        <v>1</v>
      </c>
      <c r="C5" s="274" t="s">
        <v>449</v>
      </c>
      <c r="D5" s="322" t="s">
        <v>432</v>
      </c>
      <c r="E5" s="275">
        <f>'ASG - Superintendencia (Int)'!D215</f>
        <v>3.6814849999999999</v>
      </c>
      <c r="F5" s="276">
        <f>5167.89+121.25+1506.71+168+130.57+1990.68+308+130+435</f>
        <v>9958.1</v>
      </c>
      <c r="G5" s="277" t="s">
        <v>279</v>
      </c>
      <c r="H5" s="278">
        <f t="shared" ref="H5:H8" si="0">F5*E5</f>
        <v>36660.6</v>
      </c>
      <c r="I5" s="324">
        <v>12</v>
      </c>
      <c r="J5" s="279">
        <f>I5*H5</f>
        <v>439927.2</v>
      </c>
      <c r="K5" s="21"/>
      <c r="M5" s="183"/>
    </row>
    <row r="6" spans="1:14" s="19" customFormat="1" ht="32.25" thickBot="1" x14ac:dyDescent="0.3">
      <c r="A6" s="20"/>
      <c r="B6" s="280">
        <v>2</v>
      </c>
      <c r="C6" s="285" t="s">
        <v>450</v>
      </c>
      <c r="D6" s="323"/>
      <c r="E6" s="286">
        <f>'ASG - Superintendencia (Ext)'!D215</f>
        <v>2.7155999999999998</v>
      </c>
      <c r="F6" s="281">
        <v>3000</v>
      </c>
      <c r="G6" s="282" t="s">
        <v>279</v>
      </c>
      <c r="H6" s="283">
        <f t="shared" si="0"/>
        <v>8146.8</v>
      </c>
      <c r="I6" s="325"/>
      <c r="J6" s="284">
        <f>I5*H6</f>
        <v>97761.600000000006</v>
      </c>
      <c r="K6" s="21"/>
      <c r="M6" s="183"/>
    </row>
    <row r="7" spans="1:14" ht="32.25" thickBot="1" x14ac:dyDescent="0.3">
      <c r="A7" s="20"/>
      <c r="B7" s="287">
        <v>3</v>
      </c>
      <c r="C7" s="274" t="s">
        <v>451</v>
      </c>
      <c r="D7" s="310" t="s">
        <v>433</v>
      </c>
      <c r="E7" s="289">
        <f>'ASG - Posto Av'!D215</f>
        <v>8.1285299999999996</v>
      </c>
      <c r="F7" s="290">
        <f>455+142.95+123.75</f>
        <v>721.7</v>
      </c>
      <c r="G7" s="291" t="s">
        <v>279</v>
      </c>
      <c r="H7" s="292">
        <f t="shared" si="0"/>
        <v>5866.36</v>
      </c>
      <c r="I7" s="293">
        <v>3</v>
      </c>
      <c r="J7" s="294">
        <f>I7*H7</f>
        <v>17599.080000000002</v>
      </c>
      <c r="K7" s="21"/>
      <c r="M7" s="183"/>
    </row>
    <row r="8" spans="1:14" ht="32.25" thickBot="1" x14ac:dyDescent="0.3">
      <c r="A8" s="20"/>
      <c r="B8" s="303">
        <v>4</v>
      </c>
      <c r="C8" s="288" t="s">
        <v>452</v>
      </c>
      <c r="D8" s="311" t="s">
        <v>434</v>
      </c>
      <c r="E8" s="304">
        <f>'ASG - DPF_PAC'!D215</f>
        <v>8.4660519999999995</v>
      </c>
      <c r="F8" s="305">
        <f>F7</f>
        <v>721.7</v>
      </c>
      <c r="G8" s="306" t="s">
        <v>279</v>
      </c>
      <c r="H8" s="307">
        <f t="shared" si="0"/>
        <v>6109.95</v>
      </c>
      <c r="I8" s="308">
        <v>2</v>
      </c>
      <c r="J8" s="309">
        <f>I5*H8</f>
        <v>73319.399999999994</v>
      </c>
      <c r="K8" s="21"/>
      <c r="M8" s="183"/>
    </row>
    <row r="9" spans="1:14" s="19" customFormat="1" ht="16.5" thickBot="1" x14ac:dyDescent="0.3">
      <c r="A9" s="20"/>
      <c r="B9" s="295">
        <v>5</v>
      </c>
      <c r="C9" s="296" t="s">
        <v>427</v>
      </c>
      <c r="D9" s="312" t="s">
        <v>444</v>
      </c>
      <c r="E9" s="297">
        <v>3.68</v>
      </c>
      <c r="F9" s="298">
        <v>106.08</v>
      </c>
      <c r="G9" s="299" t="s">
        <v>279</v>
      </c>
      <c r="H9" s="300">
        <f t="shared" ref="H9" si="1">F9*E9</f>
        <v>390.37</v>
      </c>
      <c r="I9" s="301">
        <v>2</v>
      </c>
      <c r="J9" s="302">
        <f>I9*H9</f>
        <v>780.74</v>
      </c>
      <c r="K9" s="21"/>
      <c r="M9" s="183"/>
    </row>
    <row r="10" spans="1:14" ht="16.5" customHeight="1" thickBot="1" x14ac:dyDescent="0.3">
      <c r="A10" s="20"/>
      <c r="B10" s="319" t="s">
        <v>92</v>
      </c>
      <c r="C10" s="320"/>
      <c r="D10" s="320"/>
      <c r="E10" s="320"/>
      <c r="F10" s="320"/>
      <c r="G10" s="321"/>
      <c r="H10" s="272">
        <f>SUM(H5:H9)</f>
        <v>57174.080000000002</v>
      </c>
      <c r="I10" s="272"/>
      <c r="J10" s="272">
        <f>SUM(J5:J9)</f>
        <v>629388.02</v>
      </c>
      <c r="K10" s="21"/>
      <c r="M10" s="183"/>
    </row>
    <row r="11" spans="1:14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0"/>
      <c r="M11" s="183"/>
    </row>
    <row r="12" spans="1:14" x14ac:dyDescent="0.25">
      <c r="A12" s="19"/>
      <c r="B12" s="19"/>
      <c r="C12" s="19"/>
      <c r="D12" s="19"/>
      <c r="E12" s="19"/>
      <c r="F12" s="19"/>
      <c r="H12" s="19"/>
      <c r="I12" s="19"/>
      <c r="J12" s="19"/>
      <c r="K12" s="19"/>
    </row>
    <row r="13" spans="1:14" x14ac:dyDescent="0.25">
      <c r="A13" s="19"/>
      <c r="B13" s="19"/>
      <c r="C13" s="19"/>
      <c r="D13" s="19"/>
      <c r="E13" s="19"/>
      <c r="F13" s="19"/>
      <c r="H13" s="183"/>
      <c r="I13" s="19"/>
      <c r="J13" s="19"/>
      <c r="K13" s="19"/>
    </row>
    <row r="17" spans="7:7" x14ac:dyDescent="0.25">
      <c r="G17" s="204"/>
    </row>
  </sheetData>
  <mergeCells count="5">
    <mergeCell ref="B2:J2"/>
    <mergeCell ref="B3:J3"/>
    <mergeCell ref="B10:G10"/>
    <mergeCell ref="D5:D6"/>
    <mergeCell ref="I5:I6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  <rowBreaks count="1" manualBreakCount="1">
    <brk id="15" max="16383" man="1"/>
  </rowBreaks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1611-3B0E-4FF6-BEDB-A29F57CD5FFB}">
  <sheetPr codeName="Planilha4">
    <tabColor rgb="FF92D050"/>
    <pageSetUpPr fitToPage="1"/>
  </sheetPr>
  <dimension ref="A1:K27"/>
  <sheetViews>
    <sheetView view="pageBreakPreview" zoomScaleNormal="100" zoomScaleSheetLayoutView="100" workbookViewId="0">
      <selection activeCell="G23" sqref="G23"/>
    </sheetView>
  </sheetViews>
  <sheetFormatPr defaultColWidth="9.140625" defaultRowHeight="15" x14ac:dyDescent="0.25"/>
  <cols>
    <col min="1" max="1" width="0.85546875" customWidth="1"/>
    <col min="2" max="2" width="38.42578125" customWidth="1"/>
    <col min="3" max="3" width="14.42578125" bestFit="1" customWidth="1"/>
    <col min="4" max="4" width="10.85546875" bestFit="1" customWidth="1"/>
    <col min="5" max="5" width="11.42578125" bestFit="1" customWidth="1"/>
    <col min="6" max="6" width="12.42578125" customWidth="1"/>
    <col min="7" max="7" width="12.42578125" bestFit="1" customWidth="1"/>
    <col min="8" max="8" width="16.140625" customWidth="1"/>
    <col min="9" max="9" width="9.140625" style="19"/>
  </cols>
  <sheetData>
    <row r="1" spans="1:8" ht="15.75" thickBot="1" x14ac:dyDescent="0.3">
      <c r="A1" s="17"/>
      <c r="B1" s="17"/>
      <c r="C1" s="158"/>
      <c r="D1" s="17"/>
      <c r="E1" s="17"/>
      <c r="F1" s="17"/>
      <c r="G1" s="17"/>
      <c r="H1" s="17"/>
    </row>
    <row r="2" spans="1:8" ht="21" thickBot="1" x14ac:dyDescent="0.3">
      <c r="A2" s="17"/>
      <c r="B2" s="326" t="s">
        <v>121</v>
      </c>
      <c r="C2" s="327"/>
      <c r="D2" s="327"/>
      <c r="E2" s="327"/>
      <c r="F2" s="327"/>
      <c r="G2" s="327"/>
      <c r="H2" s="328"/>
    </row>
    <row r="3" spans="1:8" ht="19.5" thickBot="1" x14ac:dyDescent="0.3">
      <c r="A3" s="17"/>
      <c r="B3" s="329" t="s">
        <v>122</v>
      </c>
      <c r="C3" s="330"/>
      <c r="D3" s="330"/>
      <c r="E3" s="330"/>
      <c r="F3" s="330"/>
      <c r="G3" s="330"/>
      <c r="H3" s="331"/>
    </row>
    <row r="4" spans="1:8" ht="30" x14ac:dyDescent="0.25">
      <c r="A4" s="17"/>
      <c r="B4" s="15" t="s">
        <v>7</v>
      </c>
      <c r="C4" s="155" t="s">
        <v>252</v>
      </c>
      <c r="D4" s="14" t="s">
        <v>120</v>
      </c>
      <c r="E4" s="14" t="s">
        <v>0</v>
      </c>
      <c r="F4" s="14" t="s">
        <v>8</v>
      </c>
      <c r="G4" s="14" t="s">
        <v>9</v>
      </c>
      <c r="H4" s="16" t="s">
        <v>251</v>
      </c>
    </row>
    <row r="5" spans="1:8" s="19" customFormat="1" ht="18" customHeight="1" x14ac:dyDescent="0.25">
      <c r="A5" s="17"/>
      <c r="B5" s="2" t="s">
        <v>281</v>
      </c>
      <c r="C5" s="156">
        <v>265926</v>
      </c>
      <c r="D5" s="160">
        <v>122.3</v>
      </c>
      <c r="E5" s="92">
        <v>1</v>
      </c>
      <c r="F5" s="93">
        <f>D5*E5</f>
        <v>122.3</v>
      </c>
      <c r="G5" s="92">
        <v>36</v>
      </c>
      <c r="H5" s="94">
        <f>F5/G5</f>
        <v>3.4</v>
      </c>
    </row>
    <row r="6" spans="1:8" x14ac:dyDescent="0.25">
      <c r="A6" s="17"/>
      <c r="B6" s="2" t="s">
        <v>282</v>
      </c>
      <c r="C6" s="156">
        <v>151064</v>
      </c>
      <c r="D6" s="160">
        <v>62.37</v>
      </c>
      <c r="E6" s="92">
        <v>2</v>
      </c>
      <c r="F6" s="93">
        <f t="shared" ref="F6:F11" si="0">D6*E6</f>
        <v>124.74</v>
      </c>
      <c r="G6" s="92">
        <v>24</v>
      </c>
      <c r="H6" s="94">
        <f t="shared" ref="H6:H11" si="1">F6/G6</f>
        <v>5.2</v>
      </c>
    </row>
    <row r="7" spans="1:8" x14ac:dyDescent="0.25">
      <c r="A7" s="17"/>
      <c r="B7" s="2" t="s">
        <v>283</v>
      </c>
      <c r="C7" s="156">
        <v>150284</v>
      </c>
      <c r="D7" s="160">
        <v>42.44</v>
      </c>
      <c r="E7" s="92">
        <v>3</v>
      </c>
      <c r="F7" s="93">
        <f t="shared" si="0"/>
        <v>127.32</v>
      </c>
      <c r="G7" s="92">
        <v>24</v>
      </c>
      <c r="H7" s="94">
        <f t="shared" si="1"/>
        <v>5.31</v>
      </c>
    </row>
    <row r="8" spans="1:8" x14ac:dyDescent="0.25">
      <c r="A8" s="17"/>
      <c r="B8" s="2" t="s">
        <v>254</v>
      </c>
      <c r="C8" s="156">
        <v>444178</v>
      </c>
      <c r="D8" s="160">
        <v>15.3</v>
      </c>
      <c r="E8" s="92">
        <v>3</v>
      </c>
      <c r="F8" s="93">
        <f t="shared" si="0"/>
        <v>45.9</v>
      </c>
      <c r="G8" s="92">
        <v>24</v>
      </c>
      <c r="H8" s="94">
        <f t="shared" si="1"/>
        <v>1.91</v>
      </c>
    </row>
    <row r="9" spans="1:8" ht="17.25" customHeight="1" x14ac:dyDescent="0.25">
      <c r="A9" s="17"/>
      <c r="B9" s="2" t="s">
        <v>284</v>
      </c>
      <c r="C9" s="156" t="s">
        <v>255</v>
      </c>
      <c r="D9" s="160">
        <v>108.75</v>
      </c>
      <c r="E9" s="92">
        <v>1</v>
      </c>
      <c r="F9" s="93">
        <f t="shared" si="0"/>
        <v>108.75</v>
      </c>
      <c r="G9" s="92">
        <v>24</v>
      </c>
      <c r="H9" s="94">
        <f>F9/G9</f>
        <v>4.53</v>
      </c>
    </row>
    <row r="10" spans="1:8" x14ac:dyDescent="0.25">
      <c r="A10" s="17"/>
      <c r="B10" s="2" t="s">
        <v>285</v>
      </c>
      <c r="C10" s="156">
        <v>446321</v>
      </c>
      <c r="D10" s="160">
        <v>9.67</v>
      </c>
      <c r="E10" s="92">
        <v>5</v>
      </c>
      <c r="F10" s="93">
        <f t="shared" si="0"/>
        <v>48.35</v>
      </c>
      <c r="G10" s="92">
        <v>12</v>
      </c>
      <c r="H10" s="94">
        <f>F10/G10</f>
        <v>4.03</v>
      </c>
    </row>
    <row r="11" spans="1:8" ht="15.75" thickBot="1" x14ac:dyDescent="0.3">
      <c r="A11" s="17"/>
      <c r="B11" s="3" t="s">
        <v>253</v>
      </c>
      <c r="C11" s="157">
        <v>10111</v>
      </c>
      <c r="D11" s="161">
        <v>8.33</v>
      </c>
      <c r="E11" s="95">
        <v>1</v>
      </c>
      <c r="F11" s="93">
        <f t="shared" si="0"/>
        <v>8.33</v>
      </c>
      <c r="G11" s="95">
        <v>12</v>
      </c>
      <c r="H11" s="96">
        <f t="shared" si="1"/>
        <v>0.69</v>
      </c>
    </row>
    <row r="12" spans="1:8" s="19" customFormat="1" ht="15.75" thickBot="1" x14ac:dyDescent="0.3">
      <c r="A12" s="17"/>
      <c r="B12" s="332" t="s">
        <v>342</v>
      </c>
      <c r="C12" s="333"/>
      <c r="D12" s="333"/>
      <c r="E12" s="333"/>
      <c r="F12" s="333"/>
      <c r="G12" s="333"/>
      <c r="H12" s="162">
        <f>SUM(H5:H11)</f>
        <v>25.07</v>
      </c>
    </row>
    <row r="13" spans="1:8" ht="15.75" customHeight="1" x14ac:dyDescent="0.25">
      <c r="A13" s="17"/>
      <c r="B13" s="18"/>
      <c r="C13" s="159"/>
      <c r="D13" s="18"/>
      <c r="E13" s="18"/>
      <c r="F13" s="18"/>
      <c r="G13" s="18"/>
      <c r="H13" s="18"/>
    </row>
    <row r="14" spans="1:8" ht="15.75" thickBot="1" x14ac:dyDescent="0.3">
      <c r="A14" s="17"/>
      <c r="B14" s="18"/>
      <c r="C14" s="159"/>
      <c r="D14" s="18"/>
      <c r="E14" s="18"/>
      <c r="F14" s="18"/>
      <c r="G14" s="18"/>
      <c r="H14" s="18"/>
    </row>
    <row r="15" spans="1:8" ht="19.5" thickBot="1" x14ac:dyDescent="0.3">
      <c r="A15" s="17"/>
      <c r="B15" s="329" t="s">
        <v>339</v>
      </c>
      <c r="C15" s="330"/>
      <c r="D15" s="330"/>
      <c r="E15" s="330"/>
      <c r="F15" s="330"/>
      <c r="G15" s="330"/>
      <c r="H15" s="331"/>
    </row>
    <row r="16" spans="1:8" ht="30.75" thickBot="1" x14ac:dyDescent="0.3">
      <c r="A16" s="17"/>
      <c r="B16" s="337" t="s">
        <v>7</v>
      </c>
      <c r="C16" s="338"/>
      <c r="D16" s="338"/>
      <c r="E16" s="186" t="s">
        <v>340</v>
      </c>
      <c r="F16" s="186" t="s">
        <v>120</v>
      </c>
      <c r="G16" s="186" t="s">
        <v>9</v>
      </c>
      <c r="H16" s="187" t="s">
        <v>10</v>
      </c>
    </row>
    <row r="17" spans="1:11" s="19" customFormat="1" x14ac:dyDescent="0.25">
      <c r="A17" s="17"/>
      <c r="B17" s="341" t="s">
        <v>313</v>
      </c>
      <c r="C17" s="342"/>
      <c r="D17" s="342"/>
      <c r="E17" s="188">
        <v>40436</v>
      </c>
      <c r="F17" s="189">
        <v>0</v>
      </c>
      <c r="G17" s="188">
        <v>120</v>
      </c>
      <c r="H17" s="190">
        <f>F17/G17</f>
        <v>0</v>
      </c>
    </row>
    <row r="18" spans="1:11" x14ac:dyDescent="0.25">
      <c r="A18" s="17"/>
      <c r="B18" s="339" t="s">
        <v>123</v>
      </c>
      <c r="C18" s="340"/>
      <c r="D18" s="340"/>
      <c r="E18" s="184">
        <v>435780</v>
      </c>
      <c r="F18" s="185">
        <v>1413.25</v>
      </c>
      <c r="G18" s="184">
        <v>120</v>
      </c>
      <c r="H18" s="200">
        <f>F18/G18</f>
        <v>11.78</v>
      </c>
    </row>
    <row r="19" spans="1:11" s="19" customFormat="1" x14ac:dyDescent="0.25">
      <c r="A19" s="17"/>
      <c r="B19" s="339" t="s">
        <v>289</v>
      </c>
      <c r="C19" s="340"/>
      <c r="D19" s="340"/>
      <c r="E19" s="184" t="s">
        <v>290</v>
      </c>
      <c r="F19" s="185">
        <v>2520</v>
      </c>
      <c r="G19" s="199">
        <f>Resumo!I5</f>
        <v>12</v>
      </c>
      <c r="H19" s="200">
        <f>F19/G19</f>
        <v>210</v>
      </c>
    </row>
    <row r="20" spans="1:11" s="19" customFormat="1" ht="15.75" thickBot="1" x14ac:dyDescent="0.3">
      <c r="A20" s="17"/>
      <c r="B20" s="343" t="s">
        <v>256</v>
      </c>
      <c r="C20" s="344"/>
      <c r="D20" s="344"/>
      <c r="E20" s="202">
        <v>8800</v>
      </c>
      <c r="F20" s="209">
        <v>1231.54</v>
      </c>
      <c r="G20" s="202">
        <v>20</v>
      </c>
      <c r="H20" s="203">
        <f>F20/G20</f>
        <v>61.58</v>
      </c>
    </row>
    <row r="21" spans="1:11" ht="15.75" thickBot="1" x14ac:dyDescent="0.3">
      <c r="A21" s="17"/>
      <c r="B21" s="334" t="s">
        <v>124</v>
      </c>
      <c r="C21" s="335"/>
      <c r="D21" s="335"/>
      <c r="E21" s="336"/>
      <c r="F21" s="212" t="s">
        <v>139</v>
      </c>
      <c r="G21" s="210" t="s">
        <v>126</v>
      </c>
      <c r="H21" s="211" t="s">
        <v>127</v>
      </c>
    </row>
    <row r="22" spans="1:11" x14ac:dyDescent="0.25">
      <c r="A22" s="17"/>
      <c r="B22" s="334"/>
      <c r="C22" s="335"/>
      <c r="D22" s="335"/>
      <c r="E22" s="336"/>
      <c r="F22" s="4" t="s">
        <v>125</v>
      </c>
      <c r="G22" s="5">
        <f>'ASG - Superintendencia (Int)'!A215+'ASG - Superintendencia (Ext)'!A215</f>
        <v>11</v>
      </c>
      <c r="H22" s="170">
        <f>(($H$18+$H$20)/G22)+($H$19/SUM($G$22:$G$24))</f>
        <v>22.82</v>
      </c>
      <c r="J22" s="183"/>
      <c r="K22" s="213"/>
    </row>
    <row r="23" spans="1:11" s="19" customFormat="1" x14ac:dyDescent="0.25">
      <c r="A23" s="17"/>
      <c r="B23" s="334"/>
      <c r="C23" s="335"/>
      <c r="D23" s="335"/>
      <c r="E23" s="336"/>
      <c r="F23" s="4" t="s">
        <v>439</v>
      </c>
      <c r="G23" s="5">
        <f>'ASG - Posto Av'!A215</f>
        <v>1</v>
      </c>
      <c r="H23" s="170">
        <f>(($H$18+$H$20)/G23)+($H$19/SUM($G$22:$G$24))</f>
        <v>89.51</v>
      </c>
      <c r="J23" s="183"/>
      <c r="K23" s="213"/>
    </row>
    <row r="24" spans="1:11" s="19" customFormat="1" x14ac:dyDescent="0.25">
      <c r="A24" s="17"/>
      <c r="B24" s="334"/>
      <c r="C24" s="335"/>
      <c r="D24" s="335"/>
      <c r="E24" s="336"/>
      <c r="F24" s="4" t="s">
        <v>440</v>
      </c>
      <c r="G24" s="5">
        <f>'ASG - DPF_PAC'!A215</f>
        <v>1</v>
      </c>
      <c r="H24" s="170">
        <f>(($H$18+$H$20)/G24)+($H$19/SUM($G$22:$G$24))</f>
        <v>89.51</v>
      </c>
    </row>
    <row r="25" spans="1:11" s="19" customFormat="1" x14ac:dyDescent="0.25"/>
    <row r="26" spans="1:11" s="19" customFormat="1" x14ac:dyDescent="0.25"/>
    <row r="27" spans="1:11" s="19" customFormat="1" x14ac:dyDescent="0.25"/>
  </sheetData>
  <mergeCells count="10">
    <mergeCell ref="B2:H2"/>
    <mergeCell ref="B3:H3"/>
    <mergeCell ref="B12:G12"/>
    <mergeCell ref="B15:H15"/>
    <mergeCell ref="B21:E24"/>
    <mergeCell ref="B16:D16"/>
    <mergeCell ref="B18:D18"/>
    <mergeCell ref="B19:D19"/>
    <mergeCell ref="B17:D17"/>
    <mergeCell ref="B20:D20"/>
  </mergeCells>
  <pageMargins left="0" right="0.51181102362204722" top="0.19685039370078741" bottom="0.39370078740157483" header="0.31496062992125984" footer="0.31496062992125984"/>
  <pageSetup paperSize="9" scale="8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5A28-FC36-42E9-BAA8-BFD5FCF8C63C}">
  <sheetPr codeName="Planilha5">
    <tabColor rgb="FFFFFF00"/>
  </sheetPr>
  <dimension ref="A1:H109"/>
  <sheetViews>
    <sheetView zoomScale="90" zoomScaleNormal="90" workbookViewId="0">
      <pane ySplit="1410" topLeftCell="A82" activePane="bottomLeft"/>
      <selection activeCell="F3" sqref="F3:H4"/>
      <selection pane="bottomLeft" activeCell="F108" sqref="F108"/>
    </sheetView>
  </sheetViews>
  <sheetFormatPr defaultColWidth="9.140625" defaultRowHeight="15" x14ac:dyDescent="0.25"/>
  <cols>
    <col min="1" max="1" width="9.140625" style="19"/>
    <col min="2" max="2" width="57.7109375" style="19" bestFit="1" customWidth="1"/>
    <col min="3" max="3" width="12.7109375" style="19" customWidth="1"/>
    <col min="4" max="4" width="9.28515625" style="19" customWidth="1"/>
    <col min="5" max="5" width="12.7109375" style="19" bestFit="1" customWidth="1"/>
    <col min="6" max="8" width="12.42578125" style="19" bestFit="1" customWidth="1"/>
    <col min="9" max="16384" width="9.140625" style="19"/>
  </cols>
  <sheetData>
    <row r="1" spans="1:8" ht="16.5" customHeight="1" x14ac:dyDescent="0.25">
      <c r="A1" s="192"/>
      <c r="B1" s="385" t="s">
        <v>291</v>
      </c>
      <c r="C1" s="385"/>
      <c r="D1" s="385"/>
      <c r="E1" s="385"/>
      <c r="F1" s="385"/>
    </row>
    <row r="2" spans="1:8" ht="15.75" thickBot="1" x14ac:dyDescent="0.3">
      <c r="A2" s="192"/>
      <c r="B2" s="192"/>
      <c r="C2" s="192"/>
      <c r="D2" s="192"/>
      <c r="E2" s="192"/>
      <c r="F2" s="192"/>
      <c r="G2" s="192"/>
    </row>
    <row r="3" spans="1:8" ht="15" customHeight="1" thickBot="1" x14ac:dyDescent="0.3">
      <c r="A3" s="386" t="s">
        <v>292</v>
      </c>
      <c r="B3" s="388" t="s">
        <v>293</v>
      </c>
      <c r="C3" s="388" t="s">
        <v>252</v>
      </c>
      <c r="D3" s="388" t="s">
        <v>294</v>
      </c>
      <c r="E3" s="390" t="s">
        <v>295</v>
      </c>
      <c r="F3" s="392" t="s">
        <v>446</v>
      </c>
      <c r="G3" s="393"/>
      <c r="H3" s="394"/>
    </row>
    <row r="4" spans="1:8" ht="15.75" thickBot="1" x14ac:dyDescent="0.3">
      <c r="A4" s="387"/>
      <c r="B4" s="389"/>
      <c r="C4" s="389"/>
      <c r="D4" s="389"/>
      <c r="E4" s="391"/>
      <c r="F4" s="193" t="s">
        <v>125</v>
      </c>
      <c r="G4" s="194" t="s">
        <v>445</v>
      </c>
      <c r="H4" s="194" t="s">
        <v>440</v>
      </c>
    </row>
    <row r="5" spans="1:8" x14ac:dyDescent="0.25">
      <c r="A5" s="395">
        <v>1</v>
      </c>
      <c r="B5" s="396" t="s">
        <v>402</v>
      </c>
      <c r="C5" s="397">
        <v>388864</v>
      </c>
      <c r="D5" s="399" t="s">
        <v>299</v>
      </c>
      <c r="E5" s="400">
        <v>7.18</v>
      </c>
      <c r="F5" s="226">
        <v>0</v>
      </c>
      <c r="G5" s="226">
        <v>1</v>
      </c>
      <c r="H5" s="226">
        <v>2</v>
      </c>
    </row>
    <row r="6" spans="1:8" ht="31.5" customHeight="1" x14ac:dyDescent="0.25">
      <c r="A6" s="345"/>
      <c r="B6" s="346"/>
      <c r="C6" s="398"/>
      <c r="D6" s="349"/>
      <c r="E6" s="351"/>
      <c r="F6" s="224">
        <f>F5*$E$5</f>
        <v>0</v>
      </c>
      <c r="G6" s="224">
        <f t="shared" ref="G6" si="0">G5*$E$5</f>
        <v>7.18</v>
      </c>
      <c r="H6" s="224">
        <f t="shared" ref="H6" si="1">H5*$E$5</f>
        <v>14.36</v>
      </c>
    </row>
    <row r="7" spans="1:8" x14ac:dyDescent="0.25">
      <c r="A7" s="352">
        <v>2</v>
      </c>
      <c r="B7" s="354" t="s">
        <v>296</v>
      </c>
      <c r="C7" s="356">
        <v>299605</v>
      </c>
      <c r="D7" s="357" t="s">
        <v>316</v>
      </c>
      <c r="E7" s="351">
        <v>7.7</v>
      </c>
      <c r="F7" s="218">
        <v>5</v>
      </c>
      <c r="G7" s="218">
        <v>2</v>
      </c>
      <c r="H7" s="218">
        <f>3/5</f>
        <v>0.6</v>
      </c>
    </row>
    <row r="8" spans="1:8" x14ac:dyDescent="0.25">
      <c r="A8" s="352"/>
      <c r="B8" s="354"/>
      <c r="C8" s="356"/>
      <c r="D8" s="357"/>
      <c r="E8" s="351"/>
      <c r="F8" s="258">
        <f t="shared" ref="F8:H8" si="2">F7*$E$7</f>
        <v>38.5</v>
      </c>
      <c r="G8" s="258">
        <f t="shared" si="2"/>
        <v>15.4</v>
      </c>
      <c r="H8" s="258">
        <f t="shared" si="2"/>
        <v>4.62</v>
      </c>
    </row>
    <row r="9" spans="1:8" x14ac:dyDescent="0.25">
      <c r="A9" s="345">
        <v>3</v>
      </c>
      <c r="B9" s="346" t="s">
        <v>298</v>
      </c>
      <c r="C9" s="348">
        <v>390766</v>
      </c>
      <c r="D9" s="349" t="s">
        <v>299</v>
      </c>
      <c r="E9" s="351">
        <v>8.1999999999999993</v>
      </c>
      <c r="F9" s="217">
        <v>5</v>
      </c>
      <c r="G9" s="217">
        <v>5</v>
      </c>
      <c r="H9" s="217">
        <v>5</v>
      </c>
    </row>
    <row r="10" spans="1:8" x14ac:dyDescent="0.25">
      <c r="A10" s="345"/>
      <c r="B10" s="346"/>
      <c r="C10" s="348"/>
      <c r="D10" s="349"/>
      <c r="E10" s="351"/>
      <c r="F10" s="224">
        <f>F9*$E$9</f>
        <v>41</v>
      </c>
      <c r="G10" s="224">
        <f t="shared" ref="G10" si="3">G9*$E$9</f>
        <v>41</v>
      </c>
      <c r="H10" s="224">
        <f t="shared" ref="H10" si="4">H9*$E$9</f>
        <v>41</v>
      </c>
    </row>
    <row r="11" spans="1:8" s="201" customFormat="1" x14ac:dyDescent="0.25">
      <c r="A11" s="381">
        <v>4</v>
      </c>
      <c r="B11" s="353" t="s">
        <v>325</v>
      </c>
      <c r="C11" s="361">
        <v>292586</v>
      </c>
      <c r="D11" s="357" t="s">
        <v>316</v>
      </c>
      <c r="E11" s="351">
        <v>21.81</v>
      </c>
      <c r="F11" s="219"/>
      <c r="G11" s="219"/>
      <c r="H11" s="219"/>
    </row>
    <row r="12" spans="1:8" s="201" customFormat="1" x14ac:dyDescent="0.25">
      <c r="A12" s="381"/>
      <c r="B12" s="353"/>
      <c r="C12" s="361"/>
      <c r="D12" s="357"/>
      <c r="E12" s="351"/>
      <c r="F12" s="225">
        <f>F11*$E$11</f>
        <v>0</v>
      </c>
      <c r="G12" s="225">
        <f t="shared" ref="G12" si="5">G11*$E$11</f>
        <v>0</v>
      </c>
      <c r="H12" s="225">
        <f t="shared" ref="H12" si="6">H11*$E$11</f>
        <v>0</v>
      </c>
    </row>
    <row r="13" spans="1:8" x14ac:dyDescent="0.25">
      <c r="A13" s="384">
        <v>5</v>
      </c>
      <c r="B13" s="363" t="s">
        <v>301</v>
      </c>
      <c r="C13" s="364">
        <v>381409</v>
      </c>
      <c r="D13" s="365" t="s">
        <v>299</v>
      </c>
      <c r="E13" s="351">
        <v>14.47</v>
      </c>
      <c r="F13" s="220">
        <v>12</v>
      </c>
      <c r="G13" s="220">
        <v>7</v>
      </c>
      <c r="H13" s="220">
        <v>5</v>
      </c>
    </row>
    <row r="14" spans="1:8" x14ac:dyDescent="0.25">
      <c r="A14" s="384"/>
      <c r="B14" s="363"/>
      <c r="C14" s="364"/>
      <c r="D14" s="365"/>
      <c r="E14" s="351"/>
      <c r="F14" s="223">
        <f>F13*$E$25</f>
        <v>254.4</v>
      </c>
      <c r="G14" s="223">
        <f t="shared" ref="G14:H14" si="7">G13*$E$25</f>
        <v>148.4</v>
      </c>
      <c r="H14" s="223">
        <f t="shared" si="7"/>
        <v>106</v>
      </c>
    </row>
    <row r="15" spans="1:8" x14ac:dyDescent="0.25">
      <c r="A15" s="352">
        <v>6</v>
      </c>
      <c r="B15" s="353" t="s">
        <v>302</v>
      </c>
      <c r="C15" s="356">
        <v>234737</v>
      </c>
      <c r="D15" s="357" t="s">
        <v>297</v>
      </c>
      <c r="E15" s="351">
        <v>1.22</v>
      </c>
      <c r="F15" s="218">
        <v>20</v>
      </c>
      <c r="G15" s="218">
        <v>15</v>
      </c>
      <c r="H15" s="218">
        <v>15</v>
      </c>
    </row>
    <row r="16" spans="1:8" x14ac:dyDescent="0.25">
      <c r="A16" s="352"/>
      <c r="B16" s="353"/>
      <c r="C16" s="356"/>
      <c r="D16" s="357"/>
      <c r="E16" s="351"/>
      <c r="F16" s="258">
        <f>F15*$E$27</f>
        <v>424</v>
      </c>
      <c r="G16" s="258">
        <f t="shared" ref="G16:H16" si="8">G15*$E$27</f>
        <v>318</v>
      </c>
      <c r="H16" s="258">
        <f t="shared" si="8"/>
        <v>318</v>
      </c>
    </row>
    <row r="17" spans="1:8" x14ac:dyDescent="0.25">
      <c r="A17" s="345">
        <v>7</v>
      </c>
      <c r="B17" s="375" t="s">
        <v>318</v>
      </c>
      <c r="C17" s="364">
        <v>326030</v>
      </c>
      <c r="D17" s="349" t="s">
        <v>297</v>
      </c>
      <c r="E17" s="351">
        <v>2.83</v>
      </c>
      <c r="F17" s="221">
        <v>0</v>
      </c>
      <c r="G17" s="221">
        <v>0</v>
      </c>
      <c r="H17" s="221">
        <v>15</v>
      </c>
    </row>
    <row r="18" spans="1:8" x14ac:dyDescent="0.25">
      <c r="A18" s="345"/>
      <c r="B18" s="375"/>
      <c r="C18" s="364"/>
      <c r="D18" s="349"/>
      <c r="E18" s="351"/>
      <c r="F18" s="224">
        <f t="shared" ref="F18:H18" si="9">F17*$E$29</f>
        <v>0</v>
      </c>
      <c r="G18" s="224">
        <f t="shared" si="9"/>
        <v>0</v>
      </c>
      <c r="H18" s="224">
        <f t="shared" si="9"/>
        <v>318</v>
      </c>
    </row>
    <row r="19" spans="1:8" x14ac:dyDescent="0.25">
      <c r="A19" s="352">
        <v>8</v>
      </c>
      <c r="B19" s="353" t="s">
        <v>326</v>
      </c>
      <c r="C19" s="356">
        <v>327150</v>
      </c>
      <c r="D19" s="357" t="s">
        <v>300</v>
      </c>
      <c r="E19" s="351">
        <v>8.94</v>
      </c>
      <c r="F19" s="218">
        <v>10</v>
      </c>
      <c r="G19" s="218">
        <v>9</v>
      </c>
      <c r="H19" s="218">
        <v>6</v>
      </c>
    </row>
    <row r="20" spans="1:8" x14ac:dyDescent="0.25">
      <c r="A20" s="352"/>
      <c r="B20" s="353"/>
      <c r="C20" s="356"/>
      <c r="D20" s="357"/>
      <c r="E20" s="351"/>
      <c r="F20" s="258">
        <f>F19*$E$31</f>
        <v>212</v>
      </c>
      <c r="G20" s="258">
        <f t="shared" ref="G20:H20" si="10">G19*$E$31</f>
        <v>190.8</v>
      </c>
      <c r="H20" s="258">
        <f t="shared" si="10"/>
        <v>127.2</v>
      </c>
    </row>
    <row r="21" spans="1:8" x14ac:dyDescent="0.25">
      <c r="A21" s="345">
        <v>9</v>
      </c>
      <c r="B21" s="363" t="s">
        <v>303</v>
      </c>
      <c r="C21" s="348">
        <v>226698</v>
      </c>
      <c r="D21" s="349" t="s">
        <v>316</v>
      </c>
      <c r="E21" s="351">
        <v>13.72</v>
      </c>
      <c r="F21" s="217">
        <v>4</v>
      </c>
      <c r="G21" s="217">
        <v>5</v>
      </c>
      <c r="H21" s="217">
        <v>4</v>
      </c>
    </row>
    <row r="22" spans="1:8" x14ac:dyDescent="0.25">
      <c r="A22" s="345"/>
      <c r="B22" s="363"/>
      <c r="C22" s="348"/>
      <c r="D22" s="349"/>
      <c r="E22" s="351"/>
      <c r="F22" s="224">
        <f>F21*$E$33</f>
        <v>84.8</v>
      </c>
      <c r="G22" s="224">
        <f t="shared" ref="G22:H22" si="11">G21*$E$33</f>
        <v>106</v>
      </c>
      <c r="H22" s="224">
        <f t="shared" si="11"/>
        <v>84.8</v>
      </c>
    </row>
    <row r="23" spans="1:8" x14ac:dyDescent="0.25">
      <c r="A23" s="352">
        <v>10</v>
      </c>
      <c r="B23" s="354" t="s">
        <v>327</v>
      </c>
      <c r="C23" s="356">
        <v>419326</v>
      </c>
      <c r="D23" s="357" t="s">
        <v>297</v>
      </c>
      <c r="E23" s="351">
        <v>0.69</v>
      </c>
      <c r="F23" s="218">
        <v>10</v>
      </c>
      <c r="G23" s="218">
        <v>8</v>
      </c>
      <c r="H23" s="218">
        <v>5</v>
      </c>
    </row>
    <row r="24" spans="1:8" x14ac:dyDescent="0.25">
      <c r="A24" s="352"/>
      <c r="B24" s="354"/>
      <c r="C24" s="356"/>
      <c r="D24" s="357"/>
      <c r="E24" s="351"/>
      <c r="F24" s="257">
        <f t="shared" ref="F24:H24" si="12">F23*$E$23</f>
        <v>6.9</v>
      </c>
      <c r="G24" s="257">
        <f t="shared" si="12"/>
        <v>5.52</v>
      </c>
      <c r="H24" s="257">
        <f t="shared" si="12"/>
        <v>3.45</v>
      </c>
    </row>
    <row r="25" spans="1:8" x14ac:dyDescent="0.25">
      <c r="A25" s="384">
        <v>11</v>
      </c>
      <c r="B25" s="363" t="s">
        <v>404</v>
      </c>
      <c r="C25" s="364">
        <v>397489</v>
      </c>
      <c r="D25" s="349" t="s">
        <v>297</v>
      </c>
      <c r="E25" s="351">
        <v>21.2</v>
      </c>
      <c r="F25" s="220">
        <v>0</v>
      </c>
      <c r="G25" s="220">
        <v>0</v>
      </c>
      <c r="H25" s="220">
        <v>0</v>
      </c>
    </row>
    <row r="26" spans="1:8" x14ac:dyDescent="0.25">
      <c r="A26" s="384"/>
      <c r="B26" s="363"/>
      <c r="C26" s="364"/>
      <c r="D26" s="349"/>
      <c r="E26" s="351"/>
      <c r="F26" s="223">
        <f>F25*$E$25</f>
        <v>0</v>
      </c>
      <c r="G26" s="223">
        <f t="shared" ref="G26" si="13">G25*$E$25</f>
        <v>0</v>
      </c>
      <c r="H26" s="223">
        <f t="shared" ref="H26" si="14">H25*$E$25</f>
        <v>0</v>
      </c>
    </row>
    <row r="27" spans="1:8" ht="15" customHeight="1" x14ac:dyDescent="0.25">
      <c r="A27" s="352">
        <v>12</v>
      </c>
      <c r="B27" s="382" t="s">
        <v>405</v>
      </c>
      <c r="C27" s="356">
        <v>397489</v>
      </c>
      <c r="D27" s="357" t="s">
        <v>297</v>
      </c>
      <c r="E27" s="351">
        <f>E25</f>
        <v>21.2</v>
      </c>
      <c r="F27" s="218">
        <v>0</v>
      </c>
      <c r="G27" s="218">
        <v>0</v>
      </c>
      <c r="H27" s="218">
        <v>0</v>
      </c>
    </row>
    <row r="28" spans="1:8" x14ac:dyDescent="0.25">
      <c r="A28" s="352"/>
      <c r="B28" s="383"/>
      <c r="C28" s="356"/>
      <c r="D28" s="357"/>
      <c r="E28" s="351"/>
      <c r="F28" s="258">
        <f>F27*$E$27</f>
        <v>0</v>
      </c>
      <c r="G28" s="258">
        <f t="shared" ref="G28" si="15">G27*$E$27</f>
        <v>0</v>
      </c>
      <c r="H28" s="258">
        <f t="shared" ref="H28" si="16">H27*$E$27</f>
        <v>0</v>
      </c>
    </row>
    <row r="29" spans="1:8" x14ac:dyDescent="0.25">
      <c r="A29" s="345">
        <v>13</v>
      </c>
      <c r="B29" s="375" t="s">
        <v>406</v>
      </c>
      <c r="C29" s="364">
        <v>397489</v>
      </c>
      <c r="D29" s="349" t="s">
        <v>297</v>
      </c>
      <c r="E29" s="351">
        <f>E27</f>
        <v>21.2</v>
      </c>
      <c r="F29" s="221">
        <v>0</v>
      </c>
      <c r="G29" s="221">
        <v>0</v>
      </c>
      <c r="H29" s="221">
        <v>0</v>
      </c>
    </row>
    <row r="30" spans="1:8" x14ac:dyDescent="0.25">
      <c r="A30" s="345"/>
      <c r="B30" s="375"/>
      <c r="C30" s="364"/>
      <c r="D30" s="349"/>
      <c r="E30" s="351"/>
      <c r="F30" s="224">
        <f t="shared" ref="F30:G30" si="17">F29*$E$29</f>
        <v>0</v>
      </c>
      <c r="G30" s="224">
        <f t="shared" si="17"/>
        <v>0</v>
      </c>
      <c r="H30" s="224">
        <f t="shared" ref="H30" si="18">H29*$E$29</f>
        <v>0</v>
      </c>
    </row>
    <row r="31" spans="1:8" x14ac:dyDescent="0.25">
      <c r="A31" s="352">
        <v>14</v>
      </c>
      <c r="B31" s="353" t="s">
        <v>407</v>
      </c>
      <c r="C31" s="361">
        <v>397489</v>
      </c>
      <c r="D31" s="357" t="s">
        <v>297</v>
      </c>
      <c r="E31" s="351">
        <f>E29</f>
        <v>21.2</v>
      </c>
      <c r="F31" s="218">
        <v>0</v>
      </c>
      <c r="G31" s="218">
        <v>0</v>
      </c>
      <c r="H31" s="218">
        <v>0</v>
      </c>
    </row>
    <row r="32" spans="1:8" x14ac:dyDescent="0.25">
      <c r="A32" s="352"/>
      <c r="B32" s="353"/>
      <c r="C32" s="361"/>
      <c r="D32" s="357"/>
      <c r="E32" s="351"/>
      <c r="F32" s="258">
        <f>F31*$E$31</f>
        <v>0</v>
      </c>
      <c r="G32" s="258">
        <f t="shared" ref="G32" si="19">G31*$E$31</f>
        <v>0</v>
      </c>
      <c r="H32" s="258">
        <f t="shared" ref="H32" si="20">H31*$E$31</f>
        <v>0</v>
      </c>
    </row>
    <row r="33" spans="1:8" x14ac:dyDescent="0.25">
      <c r="A33" s="345">
        <v>15</v>
      </c>
      <c r="B33" s="363" t="s">
        <v>408</v>
      </c>
      <c r="C33" s="348">
        <v>397489</v>
      </c>
      <c r="D33" s="349" t="s">
        <v>297</v>
      </c>
      <c r="E33" s="351">
        <f>E31</f>
        <v>21.2</v>
      </c>
      <c r="F33" s="217">
        <v>0</v>
      </c>
      <c r="G33" s="217">
        <v>0</v>
      </c>
      <c r="H33" s="217">
        <v>0</v>
      </c>
    </row>
    <row r="34" spans="1:8" x14ac:dyDescent="0.25">
      <c r="A34" s="345"/>
      <c r="B34" s="363"/>
      <c r="C34" s="348"/>
      <c r="D34" s="349"/>
      <c r="E34" s="351"/>
      <c r="F34" s="224">
        <f>F33*$E$33</f>
        <v>0</v>
      </c>
      <c r="G34" s="224">
        <f t="shared" ref="G34" si="21">G33*$E$33</f>
        <v>0</v>
      </c>
      <c r="H34" s="224">
        <f t="shared" ref="H34" si="22">H33*$E$33</f>
        <v>0</v>
      </c>
    </row>
    <row r="35" spans="1:8" x14ac:dyDescent="0.25">
      <c r="A35" s="352">
        <v>16</v>
      </c>
      <c r="B35" s="354" t="s">
        <v>409</v>
      </c>
      <c r="C35" s="356">
        <v>397489</v>
      </c>
      <c r="D35" s="357" t="s">
        <v>297</v>
      </c>
      <c r="E35" s="351">
        <f>E33</f>
        <v>21.2</v>
      </c>
      <c r="F35" s="218">
        <v>0</v>
      </c>
      <c r="G35" s="218">
        <v>0</v>
      </c>
      <c r="H35" s="218">
        <v>0</v>
      </c>
    </row>
    <row r="36" spans="1:8" x14ac:dyDescent="0.25">
      <c r="A36" s="352"/>
      <c r="B36" s="354"/>
      <c r="C36" s="356"/>
      <c r="D36" s="357"/>
      <c r="E36" s="351"/>
      <c r="F36" s="258">
        <f t="shared" ref="F36:H36" si="23">F35*$E$35</f>
        <v>0</v>
      </c>
      <c r="G36" s="258">
        <f t="shared" si="23"/>
        <v>0</v>
      </c>
      <c r="H36" s="258">
        <f t="shared" si="23"/>
        <v>0</v>
      </c>
    </row>
    <row r="37" spans="1:8" x14ac:dyDescent="0.25">
      <c r="A37" s="345">
        <v>17</v>
      </c>
      <c r="B37" s="363" t="s">
        <v>348</v>
      </c>
      <c r="C37" s="348">
        <v>225907</v>
      </c>
      <c r="D37" s="349" t="s">
        <v>310</v>
      </c>
      <c r="E37" s="351">
        <v>1.45</v>
      </c>
      <c r="F37" s="217">
        <v>3</v>
      </c>
      <c r="G37" s="217">
        <v>2</v>
      </c>
      <c r="H37" s="217">
        <v>1</v>
      </c>
    </row>
    <row r="38" spans="1:8" x14ac:dyDescent="0.25">
      <c r="A38" s="345"/>
      <c r="B38" s="363"/>
      <c r="C38" s="348"/>
      <c r="D38" s="349"/>
      <c r="E38" s="351"/>
      <c r="F38" s="224">
        <f>F37*$E$37</f>
        <v>4.3499999999999996</v>
      </c>
      <c r="G38" s="224">
        <f t="shared" ref="G38" si="24">G37*$E$37</f>
        <v>2.9</v>
      </c>
      <c r="H38" s="224">
        <f t="shared" ref="H38" si="25">H37*$E$37</f>
        <v>1.45</v>
      </c>
    </row>
    <row r="39" spans="1:8" x14ac:dyDescent="0.25">
      <c r="A39" s="381">
        <v>18</v>
      </c>
      <c r="B39" s="353" t="s">
        <v>349</v>
      </c>
      <c r="C39" s="361">
        <v>277505</v>
      </c>
      <c r="D39" s="362" t="s">
        <v>310</v>
      </c>
      <c r="E39" s="351">
        <v>5.51</v>
      </c>
      <c r="F39" s="219">
        <v>0</v>
      </c>
      <c r="G39" s="219">
        <v>0</v>
      </c>
      <c r="H39" s="219">
        <v>0</v>
      </c>
    </row>
    <row r="40" spans="1:8" x14ac:dyDescent="0.25">
      <c r="A40" s="381"/>
      <c r="B40" s="353"/>
      <c r="C40" s="361"/>
      <c r="D40" s="362"/>
      <c r="E40" s="351"/>
      <c r="F40" s="225">
        <f t="shared" ref="F40:H40" si="26">F39*$E$39</f>
        <v>0</v>
      </c>
      <c r="G40" s="225">
        <f t="shared" si="26"/>
        <v>0</v>
      </c>
      <c r="H40" s="225">
        <f t="shared" si="26"/>
        <v>0</v>
      </c>
    </row>
    <row r="41" spans="1:8" x14ac:dyDescent="0.25">
      <c r="A41" s="345">
        <v>19</v>
      </c>
      <c r="B41" s="346" t="s">
        <v>304</v>
      </c>
      <c r="C41" s="348">
        <v>420505</v>
      </c>
      <c r="D41" s="349" t="s">
        <v>297</v>
      </c>
      <c r="E41" s="351">
        <v>1.93</v>
      </c>
      <c r="F41" s="217">
        <v>20</v>
      </c>
      <c r="G41" s="217">
        <v>12</v>
      </c>
      <c r="H41" s="217">
        <v>10</v>
      </c>
    </row>
    <row r="42" spans="1:8" x14ac:dyDescent="0.25">
      <c r="A42" s="345"/>
      <c r="B42" s="346"/>
      <c r="C42" s="348"/>
      <c r="D42" s="349"/>
      <c r="E42" s="351"/>
      <c r="F42" s="224">
        <f>F41*$E$41</f>
        <v>38.6</v>
      </c>
      <c r="G42" s="224">
        <f t="shared" ref="G42" si="27">G41*$E$41</f>
        <v>23.16</v>
      </c>
      <c r="H42" s="224">
        <f t="shared" ref="H42" si="28">H41*$E$41</f>
        <v>19.3</v>
      </c>
    </row>
    <row r="43" spans="1:8" x14ac:dyDescent="0.25">
      <c r="A43" s="352">
        <v>20</v>
      </c>
      <c r="B43" s="354" t="s">
        <v>306</v>
      </c>
      <c r="C43" s="356">
        <v>3646</v>
      </c>
      <c r="D43" s="357" t="s">
        <v>297</v>
      </c>
      <c r="E43" s="351">
        <v>10.96</v>
      </c>
      <c r="F43" s="218">
        <v>4</v>
      </c>
      <c r="G43" s="218">
        <v>5</v>
      </c>
      <c r="H43" s="218">
        <v>3</v>
      </c>
    </row>
    <row r="44" spans="1:8" x14ac:dyDescent="0.25">
      <c r="A44" s="352"/>
      <c r="B44" s="354"/>
      <c r="C44" s="356"/>
      <c r="D44" s="357"/>
      <c r="E44" s="351"/>
      <c r="F44" s="258">
        <f t="shared" ref="F44:H44" si="29">F43*$E$43</f>
        <v>43.84</v>
      </c>
      <c r="G44" s="258">
        <f t="shared" si="29"/>
        <v>54.8</v>
      </c>
      <c r="H44" s="258">
        <f t="shared" si="29"/>
        <v>32.880000000000003</v>
      </c>
    </row>
    <row r="45" spans="1:8" x14ac:dyDescent="0.25">
      <c r="A45" s="345">
        <v>21</v>
      </c>
      <c r="B45" s="346" t="s">
        <v>328</v>
      </c>
      <c r="C45" s="348">
        <v>242252</v>
      </c>
      <c r="D45" s="349" t="s">
        <v>300</v>
      </c>
      <c r="E45" s="351">
        <v>3.43</v>
      </c>
      <c r="F45" s="217">
        <v>1</v>
      </c>
      <c r="G45" s="217">
        <v>1</v>
      </c>
      <c r="H45" s="217">
        <v>1</v>
      </c>
    </row>
    <row r="46" spans="1:8" x14ac:dyDescent="0.25">
      <c r="A46" s="345"/>
      <c r="B46" s="346"/>
      <c r="C46" s="348"/>
      <c r="D46" s="349"/>
      <c r="E46" s="351"/>
      <c r="F46" s="224">
        <f t="shared" ref="F46:H46" si="30">F45*$E$45</f>
        <v>3.43</v>
      </c>
      <c r="G46" s="224">
        <f t="shared" si="30"/>
        <v>3.43</v>
      </c>
      <c r="H46" s="224">
        <f t="shared" si="30"/>
        <v>3.43</v>
      </c>
    </row>
    <row r="47" spans="1:8" x14ac:dyDescent="0.25">
      <c r="A47" s="352">
        <v>22</v>
      </c>
      <c r="B47" s="354" t="s">
        <v>305</v>
      </c>
      <c r="C47" s="356">
        <v>293351</v>
      </c>
      <c r="D47" s="357" t="s">
        <v>297</v>
      </c>
      <c r="E47" s="351">
        <v>2.62</v>
      </c>
      <c r="F47" s="218">
        <v>20</v>
      </c>
      <c r="G47" s="218">
        <v>5</v>
      </c>
      <c r="H47" s="218">
        <v>5</v>
      </c>
    </row>
    <row r="48" spans="1:8" x14ac:dyDescent="0.25">
      <c r="A48" s="352"/>
      <c r="B48" s="354"/>
      <c r="C48" s="356"/>
      <c r="D48" s="357"/>
      <c r="E48" s="351"/>
      <c r="F48" s="258">
        <f t="shared" ref="F48:H48" si="31">F47*$E$47</f>
        <v>52.4</v>
      </c>
      <c r="G48" s="258">
        <f t="shared" si="31"/>
        <v>13.1</v>
      </c>
      <c r="H48" s="258">
        <f t="shared" si="31"/>
        <v>13.1</v>
      </c>
    </row>
    <row r="49" spans="1:8" x14ac:dyDescent="0.25">
      <c r="A49" s="345">
        <v>23</v>
      </c>
      <c r="B49" s="346" t="s">
        <v>329</v>
      </c>
      <c r="C49" s="348">
        <v>226950</v>
      </c>
      <c r="D49" s="349" t="s">
        <v>300</v>
      </c>
      <c r="E49" s="351">
        <v>3.01</v>
      </c>
      <c r="F49" s="217">
        <v>5</v>
      </c>
      <c r="G49" s="217">
        <v>2</v>
      </c>
      <c r="H49" s="217">
        <v>1</v>
      </c>
    </row>
    <row r="50" spans="1:8" x14ac:dyDescent="0.25">
      <c r="A50" s="345"/>
      <c r="B50" s="346"/>
      <c r="C50" s="348"/>
      <c r="D50" s="349"/>
      <c r="E50" s="351"/>
      <c r="F50" s="224">
        <f t="shared" ref="F50:H50" si="32">F49*$E$49</f>
        <v>15.05</v>
      </c>
      <c r="G50" s="224">
        <f t="shared" si="32"/>
        <v>6.02</v>
      </c>
      <c r="H50" s="224">
        <f t="shared" si="32"/>
        <v>3.01</v>
      </c>
    </row>
    <row r="51" spans="1:8" x14ac:dyDescent="0.25">
      <c r="A51" s="352">
        <v>24</v>
      </c>
      <c r="B51" s="354" t="s">
        <v>350</v>
      </c>
      <c r="C51" s="356">
        <v>347886</v>
      </c>
      <c r="D51" s="357" t="s">
        <v>310</v>
      </c>
      <c r="E51" s="351">
        <v>30.02</v>
      </c>
      <c r="F51" s="218">
        <v>0</v>
      </c>
      <c r="G51" s="218">
        <v>0</v>
      </c>
      <c r="H51" s="218">
        <v>0</v>
      </c>
    </row>
    <row r="52" spans="1:8" x14ac:dyDescent="0.25">
      <c r="A52" s="352"/>
      <c r="B52" s="355"/>
      <c r="C52" s="356"/>
      <c r="D52" s="357"/>
      <c r="E52" s="351"/>
      <c r="F52" s="258">
        <f t="shared" ref="F52:H52" si="33">F51*$E$51</f>
        <v>0</v>
      </c>
      <c r="G52" s="258">
        <f t="shared" si="33"/>
        <v>0</v>
      </c>
      <c r="H52" s="258">
        <f t="shared" si="33"/>
        <v>0</v>
      </c>
    </row>
    <row r="53" spans="1:8" x14ac:dyDescent="0.25">
      <c r="A53" s="345">
        <v>25</v>
      </c>
      <c r="B53" s="346" t="s">
        <v>307</v>
      </c>
      <c r="C53" s="348">
        <v>449786</v>
      </c>
      <c r="D53" s="349" t="s">
        <v>297</v>
      </c>
      <c r="E53" s="351">
        <v>3.63</v>
      </c>
      <c r="F53" s="217">
        <v>6</v>
      </c>
      <c r="G53" s="217">
        <v>6</v>
      </c>
      <c r="H53" s="217">
        <v>6</v>
      </c>
    </row>
    <row r="54" spans="1:8" x14ac:dyDescent="0.25">
      <c r="A54" s="345"/>
      <c r="B54" s="347"/>
      <c r="C54" s="348"/>
      <c r="D54" s="349"/>
      <c r="E54" s="351"/>
      <c r="F54" s="224">
        <f t="shared" ref="F54:H54" si="34">F53*$E$53</f>
        <v>21.78</v>
      </c>
      <c r="G54" s="224">
        <f t="shared" si="34"/>
        <v>21.78</v>
      </c>
      <c r="H54" s="224">
        <f t="shared" si="34"/>
        <v>21.78</v>
      </c>
    </row>
    <row r="55" spans="1:8" x14ac:dyDescent="0.25">
      <c r="A55" s="352">
        <v>26</v>
      </c>
      <c r="B55" s="354" t="s">
        <v>330</v>
      </c>
      <c r="C55" s="356">
        <v>357462</v>
      </c>
      <c r="D55" s="357" t="s">
        <v>297</v>
      </c>
      <c r="E55" s="351">
        <v>3.71</v>
      </c>
      <c r="F55" s="218">
        <v>0</v>
      </c>
      <c r="G55" s="218">
        <v>2</v>
      </c>
      <c r="H55" s="218">
        <v>1</v>
      </c>
    </row>
    <row r="56" spans="1:8" x14ac:dyDescent="0.25">
      <c r="A56" s="352"/>
      <c r="B56" s="355"/>
      <c r="C56" s="356"/>
      <c r="D56" s="357"/>
      <c r="E56" s="351"/>
      <c r="F56" s="258">
        <f t="shared" ref="F56:H56" si="35">F55*$E$55</f>
        <v>0</v>
      </c>
      <c r="G56" s="258">
        <f t="shared" si="35"/>
        <v>7.42</v>
      </c>
      <c r="H56" s="258">
        <f t="shared" si="35"/>
        <v>3.71</v>
      </c>
    </row>
    <row r="57" spans="1:8" x14ac:dyDescent="0.25">
      <c r="A57" s="345">
        <v>27</v>
      </c>
      <c r="B57" s="346" t="s">
        <v>351</v>
      </c>
      <c r="C57" s="348">
        <v>224638</v>
      </c>
      <c r="D57" s="349" t="s">
        <v>297</v>
      </c>
      <c r="E57" s="351">
        <v>1.9</v>
      </c>
      <c r="F57" s="217">
        <f>10*15</f>
        <v>150</v>
      </c>
      <c r="G57" s="217">
        <f>3*15</f>
        <v>45</v>
      </c>
      <c r="H57" s="217">
        <f>4*15</f>
        <v>60</v>
      </c>
    </row>
    <row r="58" spans="1:8" x14ac:dyDescent="0.25">
      <c r="A58" s="345"/>
      <c r="B58" s="347"/>
      <c r="C58" s="348"/>
      <c r="D58" s="349"/>
      <c r="E58" s="351"/>
      <c r="F58" s="224">
        <f t="shared" ref="F58:H58" si="36">F57*$E$57</f>
        <v>285</v>
      </c>
      <c r="G58" s="224">
        <f t="shared" si="36"/>
        <v>85.5</v>
      </c>
      <c r="H58" s="224">
        <f t="shared" si="36"/>
        <v>114</v>
      </c>
    </row>
    <row r="59" spans="1:8" x14ac:dyDescent="0.25">
      <c r="A59" s="352">
        <v>28</v>
      </c>
      <c r="B59" s="354" t="s">
        <v>352</v>
      </c>
      <c r="C59" s="356">
        <v>233648</v>
      </c>
      <c r="D59" s="357" t="s">
        <v>297</v>
      </c>
      <c r="E59" s="351">
        <v>5.74</v>
      </c>
      <c r="F59" s="222">
        <v>0</v>
      </c>
      <c r="G59" s="222">
        <v>0</v>
      </c>
      <c r="H59" s="222">
        <v>0</v>
      </c>
    </row>
    <row r="60" spans="1:8" x14ac:dyDescent="0.25">
      <c r="A60" s="352"/>
      <c r="B60" s="355"/>
      <c r="C60" s="356"/>
      <c r="D60" s="357"/>
      <c r="E60" s="351"/>
      <c r="F60" s="258">
        <f t="shared" ref="F60:H60" si="37">F59*$E$59</f>
        <v>0</v>
      </c>
      <c r="G60" s="258">
        <f t="shared" si="37"/>
        <v>0</v>
      </c>
      <c r="H60" s="258">
        <f t="shared" si="37"/>
        <v>0</v>
      </c>
    </row>
    <row r="61" spans="1:8" x14ac:dyDescent="0.25">
      <c r="A61" s="345">
        <v>29</v>
      </c>
      <c r="B61" s="346" t="s">
        <v>353</v>
      </c>
      <c r="C61" s="348">
        <v>436328</v>
      </c>
      <c r="D61" s="349" t="s">
        <v>308</v>
      </c>
      <c r="E61" s="351">
        <v>10.32</v>
      </c>
      <c r="F61" s="217">
        <v>40</v>
      </c>
      <c r="G61" s="217">
        <v>30</v>
      </c>
      <c r="H61" s="217">
        <v>30</v>
      </c>
    </row>
    <row r="62" spans="1:8" x14ac:dyDescent="0.25">
      <c r="A62" s="345"/>
      <c r="B62" s="347"/>
      <c r="C62" s="348"/>
      <c r="D62" s="350"/>
      <c r="E62" s="351"/>
      <c r="F62" s="224">
        <f t="shared" ref="F62:H62" si="38">F61*$E$61</f>
        <v>412.8</v>
      </c>
      <c r="G62" s="224">
        <f t="shared" si="38"/>
        <v>309.60000000000002</v>
      </c>
      <c r="H62" s="224">
        <f t="shared" si="38"/>
        <v>309.60000000000002</v>
      </c>
    </row>
    <row r="63" spans="1:8" x14ac:dyDescent="0.25">
      <c r="A63" s="352">
        <v>30</v>
      </c>
      <c r="B63" s="354" t="s">
        <v>354</v>
      </c>
      <c r="C63" s="356">
        <v>374443</v>
      </c>
      <c r="D63" s="357" t="s">
        <v>309</v>
      </c>
      <c r="E63" s="351">
        <v>46.85</v>
      </c>
      <c r="F63" s="218">
        <v>0</v>
      </c>
      <c r="G63" s="218">
        <v>1</v>
      </c>
      <c r="H63" s="218">
        <v>0</v>
      </c>
    </row>
    <row r="64" spans="1:8" x14ac:dyDescent="0.25">
      <c r="A64" s="352"/>
      <c r="B64" s="355"/>
      <c r="C64" s="356"/>
      <c r="D64" s="358"/>
      <c r="E64" s="351"/>
      <c r="F64" s="258">
        <f t="shared" ref="F64:H64" si="39">F63*$E$63</f>
        <v>0</v>
      </c>
      <c r="G64" s="258">
        <f t="shared" si="39"/>
        <v>46.85</v>
      </c>
      <c r="H64" s="258">
        <f t="shared" si="39"/>
        <v>0</v>
      </c>
    </row>
    <row r="65" spans="1:8" x14ac:dyDescent="0.25">
      <c r="A65" s="345">
        <v>31</v>
      </c>
      <c r="B65" s="363" t="s">
        <v>331</v>
      </c>
      <c r="C65" s="364">
        <v>397370</v>
      </c>
      <c r="D65" s="365" t="s">
        <v>300</v>
      </c>
      <c r="E65" s="351">
        <v>3.48</v>
      </c>
      <c r="F65" s="217">
        <v>4</v>
      </c>
      <c r="G65" s="217">
        <v>1</v>
      </c>
      <c r="H65" s="217">
        <v>0</v>
      </c>
    </row>
    <row r="66" spans="1:8" x14ac:dyDescent="0.25">
      <c r="A66" s="345"/>
      <c r="B66" s="363"/>
      <c r="C66" s="364"/>
      <c r="D66" s="365"/>
      <c r="E66" s="351"/>
      <c r="F66" s="224">
        <f t="shared" ref="F66:H66" si="40">F65*$E$65</f>
        <v>13.92</v>
      </c>
      <c r="G66" s="224">
        <f t="shared" si="40"/>
        <v>3.48</v>
      </c>
      <c r="H66" s="224">
        <f t="shared" si="40"/>
        <v>0</v>
      </c>
    </row>
    <row r="67" spans="1:8" x14ac:dyDescent="0.25">
      <c r="A67" s="352">
        <v>32</v>
      </c>
      <c r="B67" s="353" t="s">
        <v>338</v>
      </c>
      <c r="C67" s="372">
        <v>241703</v>
      </c>
      <c r="D67" s="371" t="s">
        <v>300</v>
      </c>
      <c r="E67" s="351">
        <v>3.45</v>
      </c>
      <c r="F67" s="222">
        <v>0</v>
      </c>
      <c r="G67" s="222">
        <v>4</v>
      </c>
      <c r="H67" s="222">
        <v>4</v>
      </c>
    </row>
    <row r="68" spans="1:8" x14ac:dyDescent="0.25">
      <c r="A68" s="352"/>
      <c r="B68" s="353"/>
      <c r="C68" s="372"/>
      <c r="D68" s="371"/>
      <c r="E68" s="351"/>
      <c r="F68" s="225">
        <f t="shared" ref="F68:H68" si="41">F67*$E$67</f>
        <v>0</v>
      </c>
      <c r="G68" s="225">
        <f t="shared" si="41"/>
        <v>13.8</v>
      </c>
      <c r="H68" s="225">
        <f t="shared" si="41"/>
        <v>13.8</v>
      </c>
    </row>
    <row r="69" spans="1:8" x14ac:dyDescent="0.25">
      <c r="A69" s="345">
        <v>33</v>
      </c>
      <c r="B69" s="346" t="s">
        <v>332</v>
      </c>
      <c r="C69" s="348">
        <v>485479</v>
      </c>
      <c r="D69" s="349" t="s">
        <v>297</v>
      </c>
      <c r="E69" s="351">
        <v>58.55</v>
      </c>
      <c r="F69" s="217">
        <v>2</v>
      </c>
      <c r="G69" s="217">
        <v>1</v>
      </c>
      <c r="H69" s="217">
        <v>1</v>
      </c>
    </row>
    <row r="70" spans="1:8" x14ac:dyDescent="0.25">
      <c r="A70" s="345"/>
      <c r="B70" s="347"/>
      <c r="C70" s="348"/>
      <c r="D70" s="376"/>
      <c r="E70" s="351"/>
      <c r="F70" s="224">
        <f>F69*$E$69</f>
        <v>117.1</v>
      </c>
      <c r="G70" s="224">
        <f t="shared" ref="G70:H70" si="42">G69*$E$69</f>
        <v>58.55</v>
      </c>
      <c r="H70" s="224">
        <f t="shared" si="42"/>
        <v>58.55</v>
      </c>
    </row>
    <row r="71" spans="1:8" x14ac:dyDescent="0.25">
      <c r="A71" s="352">
        <v>34</v>
      </c>
      <c r="B71" s="354" t="s">
        <v>333</v>
      </c>
      <c r="C71" s="359">
        <v>345458</v>
      </c>
      <c r="D71" s="360" t="s">
        <v>316</v>
      </c>
      <c r="E71" s="351">
        <v>105.21</v>
      </c>
      <c r="F71" s="222">
        <v>0</v>
      </c>
      <c r="G71" s="222">
        <v>0</v>
      </c>
      <c r="H71" s="222">
        <v>0</v>
      </c>
    </row>
    <row r="72" spans="1:8" x14ac:dyDescent="0.25">
      <c r="A72" s="352"/>
      <c r="B72" s="355"/>
      <c r="C72" s="359"/>
      <c r="D72" s="350"/>
      <c r="E72" s="351"/>
      <c r="F72" s="258">
        <f t="shared" ref="F72:H72" si="43">F71*$E$71</f>
        <v>0</v>
      </c>
      <c r="G72" s="258">
        <f t="shared" si="43"/>
        <v>0</v>
      </c>
      <c r="H72" s="258">
        <f t="shared" si="43"/>
        <v>0</v>
      </c>
    </row>
    <row r="73" spans="1:8" x14ac:dyDescent="0.25">
      <c r="A73" s="345">
        <v>35</v>
      </c>
      <c r="B73" s="346" t="s">
        <v>355</v>
      </c>
      <c r="C73" s="348">
        <v>30414</v>
      </c>
      <c r="D73" s="349" t="s">
        <v>310</v>
      </c>
      <c r="E73" s="351">
        <v>7.29</v>
      </c>
      <c r="F73" s="217">
        <f>4/5</f>
        <v>0.8</v>
      </c>
      <c r="G73" s="217">
        <f>6/5</f>
        <v>1.2</v>
      </c>
      <c r="H73" s="217">
        <f>6/5</f>
        <v>1.2</v>
      </c>
    </row>
    <row r="74" spans="1:8" x14ac:dyDescent="0.25">
      <c r="A74" s="345"/>
      <c r="B74" s="347"/>
      <c r="C74" s="348"/>
      <c r="D74" s="350"/>
      <c r="E74" s="351"/>
      <c r="F74" s="224">
        <f t="shared" ref="F74:H74" si="44">F73*$E$73</f>
        <v>5.83</v>
      </c>
      <c r="G74" s="224">
        <f t="shared" si="44"/>
        <v>8.75</v>
      </c>
      <c r="H74" s="224">
        <f t="shared" si="44"/>
        <v>8.75</v>
      </c>
    </row>
    <row r="75" spans="1:8" x14ac:dyDescent="0.25">
      <c r="A75" s="352">
        <v>36</v>
      </c>
      <c r="B75" s="353" t="s">
        <v>311</v>
      </c>
      <c r="C75" s="359">
        <v>332971</v>
      </c>
      <c r="D75" s="360" t="s">
        <v>297</v>
      </c>
      <c r="E75" s="351">
        <v>5.25</v>
      </c>
      <c r="F75" s="222">
        <v>2</v>
      </c>
      <c r="G75" s="222">
        <v>4</v>
      </c>
      <c r="H75" s="222">
        <v>4</v>
      </c>
    </row>
    <row r="76" spans="1:8" x14ac:dyDescent="0.25">
      <c r="A76" s="352"/>
      <c r="B76" s="353"/>
      <c r="C76" s="359"/>
      <c r="D76" s="350"/>
      <c r="E76" s="351"/>
      <c r="F76" s="258">
        <f t="shared" ref="F76:H76" si="45">F75*$E$75</f>
        <v>10.5</v>
      </c>
      <c r="G76" s="258">
        <f t="shared" si="45"/>
        <v>21</v>
      </c>
      <c r="H76" s="258">
        <f t="shared" si="45"/>
        <v>21</v>
      </c>
    </row>
    <row r="77" spans="1:8" x14ac:dyDescent="0.25">
      <c r="A77" s="345">
        <v>37</v>
      </c>
      <c r="B77" s="363" t="s">
        <v>356</v>
      </c>
      <c r="C77" s="364">
        <v>472873</v>
      </c>
      <c r="D77" s="365" t="s">
        <v>316</v>
      </c>
      <c r="E77" s="351">
        <v>18.89</v>
      </c>
      <c r="F77" s="218">
        <f>10/5</f>
        <v>2</v>
      </c>
      <c r="G77" s="218">
        <f>6/5</f>
        <v>1.2</v>
      </c>
      <c r="H77" s="218">
        <f>5/5</f>
        <v>1</v>
      </c>
    </row>
    <row r="78" spans="1:8" x14ac:dyDescent="0.25">
      <c r="A78" s="345"/>
      <c r="B78" s="363"/>
      <c r="C78" s="364"/>
      <c r="D78" s="365"/>
      <c r="E78" s="351"/>
      <c r="F78" s="223">
        <f t="shared" ref="F78:H78" si="46">F77*$E$77</f>
        <v>37.78</v>
      </c>
      <c r="G78" s="223">
        <f t="shared" si="46"/>
        <v>22.67</v>
      </c>
      <c r="H78" s="223">
        <f t="shared" si="46"/>
        <v>18.89</v>
      </c>
    </row>
    <row r="79" spans="1:8" x14ac:dyDescent="0.25">
      <c r="A79" s="352">
        <v>38</v>
      </c>
      <c r="B79" s="354" t="s">
        <v>403</v>
      </c>
      <c r="C79" s="356">
        <v>444433</v>
      </c>
      <c r="D79" s="357" t="s">
        <v>297</v>
      </c>
      <c r="E79" s="351">
        <v>1.56</v>
      </c>
      <c r="F79" s="218">
        <v>0</v>
      </c>
      <c r="G79" s="218">
        <v>2</v>
      </c>
      <c r="H79" s="218">
        <v>2</v>
      </c>
    </row>
    <row r="80" spans="1:8" x14ac:dyDescent="0.25">
      <c r="A80" s="352"/>
      <c r="B80" s="355"/>
      <c r="C80" s="356"/>
      <c r="D80" s="358"/>
      <c r="E80" s="351"/>
      <c r="F80" s="258">
        <f t="shared" ref="F80:G80" si="47">F79*$E$79</f>
        <v>0</v>
      </c>
      <c r="G80" s="258">
        <f t="shared" si="47"/>
        <v>3.12</v>
      </c>
      <c r="H80" s="258">
        <f>H79*$E$79</f>
        <v>3.12</v>
      </c>
    </row>
    <row r="81" spans="1:8" x14ac:dyDescent="0.25">
      <c r="A81" s="345">
        <v>39</v>
      </c>
      <c r="B81" s="363" t="s">
        <v>334</v>
      </c>
      <c r="C81" s="364">
        <v>472873</v>
      </c>
      <c r="D81" s="365" t="s">
        <v>299</v>
      </c>
      <c r="E81" s="351">
        <v>7.92</v>
      </c>
      <c r="F81" s="217">
        <v>10</v>
      </c>
      <c r="G81" s="217">
        <v>3</v>
      </c>
      <c r="H81" s="217">
        <v>3</v>
      </c>
    </row>
    <row r="82" spans="1:8" x14ac:dyDescent="0.25">
      <c r="A82" s="345"/>
      <c r="B82" s="363"/>
      <c r="C82" s="364"/>
      <c r="D82" s="365"/>
      <c r="E82" s="351"/>
      <c r="F82" s="224">
        <f t="shared" ref="F82:G82" si="48">F81*$E$81</f>
        <v>79.2</v>
      </c>
      <c r="G82" s="224">
        <f t="shared" si="48"/>
        <v>23.76</v>
      </c>
      <c r="H82" s="224">
        <f>H81*$E$81</f>
        <v>23.76</v>
      </c>
    </row>
    <row r="83" spans="1:8" x14ac:dyDescent="0.25">
      <c r="A83" s="352">
        <v>40</v>
      </c>
      <c r="B83" s="353" t="s">
        <v>335</v>
      </c>
      <c r="C83" s="361">
        <v>327878</v>
      </c>
      <c r="D83" s="362" t="s">
        <v>297</v>
      </c>
      <c r="E83" s="351">
        <v>13.42</v>
      </c>
      <c r="F83" s="218">
        <v>3</v>
      </c>
      <c r="G83" s="218">
        <v>1</v>
      </c>
      <c r="H83" s="218">
        <v>1</v>
      </c>
    </row>
    <row r="84" spans="1:8" x14ac:dyDescent="0.25">
      <c r="A84" s="352"/>
      <c r="B84" s="353"/>
      <c r="C84" s="361"/>
      <c r="D84" s="362"/>
      <c r="E84" s="351"/>
      <c r="F84" s="228">
        <f t="shared" ref="F84:H84" si="49">F83*$E$83</f>
        <v>40.26</v>
      </c>
      <c r="G84" s="228">
        <f t="shared" si="49"/>
        <v>13.42</v>
      </c>
      <c r="H84" s="228">
        <f t="shared" si="49"/>
        <v>13.42</v>
      </c>
    </row>
    <row r="85" spans="1:8" x14ac:dyDescent="0.25">
      <c r="A85" s="345">
        <v>41</v>
      </c>
      <c r="B85" s="363" t="s">
        <v>336</v>
      </c>
      <c r="C85" s="364">
        <v>470832</v>
      </c>
      <c r="D85" s="365" t="s">
        <v>309</v>
      </c>
      <c r="E85" s="351">
        <v>16.57</v>
      </c>
      <c r="F85" s="217">
        <v>3</v>
      </c>
      <c r="G85" s="217">
        <v>2</v>
      </c>
      <c r="H85" s="217">
        <v>3</v>
      </c>
    </row>
    <row r="86" spans="1:8" x14ac:dyDescent="0.25">
      <c r="A86" s="345"/>
      <c r="B86" s="363"/>
      <c r="C86" s="364"/>
      <c r="D86" s="371"/>
      <c r="E86" s="351"/>
      <c r="F86" s="227">
        <f t="shared" ref="F86:H86" si="50">F85*$E$85</f>
        <v>49.71</v>
      </c>
      <c r="G86" s="227">
        <f t="shared" si="50"/>
        <v>33.14</v>
      </c>
      <c r="H86" s="227">
        <f t="shared" si="50"/>
        <v>49.71</v>
      </c>
    </row>
    <row r="87" spans="1:8" x14ac:dyDescent="0.25">
      <c r="A87" s="352">
        <v>42</v>
      </c>
      <c r="B87" s="353" t="s">
        <v>337</v>
      </c>
      <c r="C87" s="361">
        <v>470832</v>
      </c>
      <c r="D87" s="362" t="s">
        <v>309</v>
      </c>
      <c r="E87" s="351">
        <v>16.57</v>
      </c>
      <c r="F87" s="218">
        <v>3</v>
      </c>
      <c r="G87" s="218">
        <v>0</v>
      </c>
      <c r="H87" s="218">
        <v>1</v>
      </c>
    </row>
    <row r="88" spans="1:8" x14ac:dyDescent="0.25">
      <c r="A88" s="352"/>
      <c r="B88" s="353"/>
      <c r="C88" s="361"/>
      <c r="D88" s="362"/>
      <c r="E88" s="351"/>
      <c r="F88" s="228">
        <f t="shared" ref="F88:H88" si="51">F87*$E$87</f>
        <v>49.71</v>
      </c>
      <c r="G88" s="228">
        <f t="shared" si="51"/>
        <v>0</v>
      </c>
      <c r="H88" s="228">
        <f t="shared" si="51"/>
        <v>16.57</v>
      </c>
    </row>
    <row r="89" spans="1:8" x14ac:dyDescent="0.25">
      <c r="A89" s="345">
        <v>43</v>
      </c>
      <c r="B89" s="363" t="s">
        <v>357</v>
      </c>
      <c r="C89" s="364">
        <v>470833</v>
      </c>
      <c r="D89" s="365" t="s">
        <v>309</v>
      </c>
      <c r="E89" s="351">
        <v>30.48</v>
      </c>
      <c r="F89" s="217">
        <v>3</v>
      </c>
      <c r="G89" s="217">
        <v>2</v>
      </c>
      <c r="H89" s="217">
        <v>3</v>
      </c>
    </row>
    <row r="90" spans="1:8" x14ac:dyDescent="0.25">
      <c r="A90" s="345"/>
      <c r="B90" s="363"/>
      <c r="C90" s="364"/>
      <c r="D90" s="371"/>
      <c r="E90" s="351"/>
      <c r="F90" s="227">
        <f t="shared" ref="F90:H90" si="52">F89*$E$89</f>
        <v>91.44</v>
      </c>
      <c r="G90" s="227">
        <f t="shared" si="52"/>
        <v>60.96</v>
      </c>
      <c r="H90" s="227">
        <f t="shared" si="52"/>
        <v>91.44</v>
      </c>
    </row>
    <row r="91" spans="1:8" x14ac:dyDescent="0.25">
      <c r="A91" s="352">
        <v>44</v>
      </c>
      <c r="B91" s="353" t="s">
        <v>358</v>
      </c>
      <c r="C91" s="372">
        <v>470833</v>
      </c>
      <c r="D91" s="362" t="s">
        <v>309</v>
      </c>
      <c r="E91" s="351">
        <v>30.48</v>
      </c>
      <c r="F91" s="222">
        <v>0</v>
      </c>
      <c r="G91" s="222">
        <v>0</v>
      </c>
      <c r="H91" s="222">
        <v>1</v>
      </c>
    </row>
    <row r="92" spans="1:8" x14ac:dyDescent="0.25">
      <c r="A92" s="352"/>
      <c r="B92" s="353"/>
      <c r="C92" s="372"/>
      <c r="D92" s="362"/>
      <c r="E92" s="351"/>
      <c r="F92" s="228">
        <f t="shared" ref="F92:H92" si="53">F91*$E$91</f>
        <v>0</v>
      </c>
      <c r="G92" s="228">
        <f t="shared" si="53"/>
        <v>0</v>
      </c>
      <c r="H92" s="228">
        <f t="shared" si="53"/>
        <v>30.48</v>
      </c>
    </row>
    <row r="93" spans="1:8" x14ac:dyDescent="0.25">
      <c r="A93" s="345">
        <v>45</v>
      </c>
      <c r="B93" s="363" t="s">
        <v>359</v>
      </c>
      <c r="C93" s="364">
        <v>407037</v>
      </c>
      <c r="D93" s="365" t="s">
        <v>309</v>
      </c>
      <c r="E93" s="351">
        <v>11.09</v>
      </c>
      <c r="F93" s="217">
        <v>0</v>
      </c>
      <c r="G93" s="217">
        <v>0</v>
      </c>
      <c r="H93" s="217">
        <v>0</v>
      </c>
    </row>
    <row r="94" spans="1:8" ht="15.75" thickBot="1" x14ac:dyDescent="0.3">
      <c r="A94" s="366"/>
      <c r="B94" s="367"/>
      <c r="C94" s="368"/>
      <c r="D94" s="369"/>
      <c r="E94" s="370"/>
      <c r="F94" s="259">
        <f t="shared" ref="F94:H94" si="54">F93*$E$93</f>
        <v>0</v>
      </c>
      <c r="G94" s="259">
        <f t="shared" si="54"/>
        <v>0</v>
      </c>
      <c r="H94" s="259">
        <f t="shared" si="54"/>
        <v>0</v>
      </c>
    </row>
    <row r="95" spans="1:8" x14ac:dyDescent="0.25">
      <c r="A95" s="352">
        <v>46</v>
      </c>
      <c r="B95" s="353" t="s">
        <v>420</v>
      </c>
      <c r="C95" s="361"/>
      <c r="D95" s="362" t="s">
        <v>297</v>
      </c>
      <c r="E95" s="351"/>
      <c r="F95" s="218"/>
      <c r="G95" s="218"/>
      <c r="H95" s="218"/>
    </row>
    <row r="96" spans="1:8" x14ac:dyDescent="0.25">
      <c r="A96" s="352"/>
      <c r="B96" s="353"/>
      <c r="C96" s="361"/>
      <c r="D96" s="362"/>
      <c r="E96" s="351"/>
      <c r="F96" s="225">
        <f>F95*$E$95</f>
        <v>0</v>
      </c>
      <c r="G96" s="225">
        <f t="shared" ref="G96:H96" si="55">G95*$E$95</f>
        <v>0</v>
      </c>
      <c r="H96" s="225">
        <f t="shared" si="55"/>
        <v>0</v>
      </c>
    </row>
    <row r="97" spans="1:8" x14ac:dyDescent="0.25">
      <c r="A97" s="345">
        <v>47</v>
      </c>
      <c r="B97" s="363" t="s">
        <v>421</v>
      </c>
      <c r="C97" s="364">
        <v>321633</v>
      </c>
      <c r="D97" s="365" t="s">
        <v>297</v>
      </c>
      <c r="E97" s="351">
        <v>3.17</v>
      </c>
      <c r="F97" s="217"/>
      <c r="G97" s="217"/>
      <c r="H97" s="217"/>
    </row>
    <row r="98" spans="1:8" x14ac:dyDescent="0.25">
      <c r="A98" s="345"/>
      <c r="B98" s="363"/>
      <c r="C98" s="364"/>
      <c r="D98" s="371"/>
      <c r="E98" s="351"/>
      <c r="F98" s="224">
        <f t="shared" ref="F98:H98" si="56">F97*$E$97</f>
        <v>0</v>
      </c>
      <c r="G98" s="224">
        <f t="shared" si="56"/>
        <v>0</v>
      </c>
      <c r="H98" s="224">
        <f t="shared" si="56"/>
        <v>0</v>
      </c>
    </row>
    <row r="99" spans="1:8" x14ac:dyDescent="0.25">
      <c r="A99" s="352">
        <v>48</v>
      </c>
      <c r="B99" s="353" t="s">
        <v>422</v>
      </c>
      <c r="C99" s="361">
        <v>227221</v>
      </c>
      <c r="D99" s="362" t="s">
        <v>297</v>
      </c>
      <c r="E99" s="351">
        <f>(2.13+2.94)/2</f>
        <v>2.54</v>
      </c>
      <c r="F99" s="218"/>
      <c r="G99" s="218"/>
      <c r="H99" s="218"/>
    </row>
    <row r="100" spans="1:8" x14ac:dyDescent="0.25">
      <c r="A100" s="352"/>
      <c r="B100" s="353"/>
      <c r="C100" s="361"/>
      <c r="D100" s="362"/>
      <c r="E100" s="351"/>
      <c r="F100" s="225">
        <f t="shared" ref="F100:H100" si="57">F99*$E$99</f>
        <v>0</v>
      </c>
      <c r="G100" s="225">
        <f t="shared" si="57"/>
        <v>0</v>
      </c>
      <c r="H100" s="225">
        <f t="shared" si="57"/>
        <v>0</v>
      </c>
    </row>
    <row r="101" spans="1:8" x14ac:dyDescent="0.25">
      <c r="A101" s="345">
        <v>49</v>
      </c>
      <c r="B101" s="363" t="s">
        <v>423</v>
      </c>
      <c r="C101" s="364">
        <v>244285</v>
      </c>
      <c r="D101" s="365" t="s">
        <v>297</v>
      </c>
      <c r="E101" s="351">
        <v>5.74</v>
      </c>
      <c r="F101" s="217"/>
      <c r="G101" s="217"/>
      <c r="H101" s="217"/>
    </row>
    <row r="102" spans="1:8" x14ac:dyDescent="0.25">
      <c r="A102" s="345"/>
      <c r="B102" s="363"/>
      <c r="C102" s="364"/>
      <c r="D102" s="371"/>
      <c r="E102" s="351"/>
      <c r="F102" s="224">
        <f t="shared" ref="F102:H102" si="58">F101*$E$101</f>
        <v>0</v>
      </c>
      <c r="G102" s="224">
        <f t="shared" si="58"/>
        <v>0</v>
      </c>
      <c r="H102" s="224">
        <f t="shared" si="58"/>
        <v>0</v>
      </c>
    </row>
    <row r="103" spans="1:8" x14ac:dyDescent="0.25">
      <c r="A103" s="352">
        <v>50</v>
      </c>
      <c r="B103" s="353" t="s">
        <v>424</v>
      </c>
      <c r="C103" s="372">
        <v>419187</v>
      </c>
      <c r="D103" s="362" t="s">
        <v>297</v>
      </c>
      <c r="E103" s="351">
        <v>6.35</v>
      </c>
      <c r="F103" s="222"/>
      <c r="G103" s="222"/>
      <c r="H103" s="222"/>
    </row>
    <row r="104" spans="1:8" x14ac:dyDescent="0.25">
      <c r="A104" s="352"/>
      <c r="B104" s="353"/>
      <c r="C104" s="372"/>
      <c r="D104" s="362"/>
      <c r="E104" s="351"/>
      <c r="F104" s="258">
        <f t="shared" ref="F104:H104" si="59">F103*$E$103</f>
        <v>0</v>
      </c>
      <c r="G104" s="258">
        <f t="shared" si="59"/>
        <v>0</v>
      </c>
      <c r="H104" s="258">
        <f t="shared" si="59"/>
        <v>0</v>
      </c>
    </row>
    <row r="105" spans="1:8" x14ac:dyDescent="0.25">
      <c r="A105" s="345">
        <v>51</v>
      </c>
      <c r="B105" s="363" t="s">
        <v>425</v>
      </c>
      <c r="C105" s="364">
        <v>322637</v>
      </c>
      <c r="D105" s="365" t="s">
        <v>297</v>
      </c>
      <c r="E105" s="351">
        <v>6.66</v>
      </c>
      <c r="F105" s="217"/>
      <c r="G105" s="217"/>
      <c r="H105" s="217"/>
    </row>
    <row r="106" spans="1:8" ht="15.75" thickBot="1" x14ac:dyDescent="0.3">
      <c r="A106" s="366"/>
      <c r="B106" s="367"/>
      <c r="C106" s="368"/>
      <c r="D106" s="369"/>
      <c r="E106" s="370"/>
      <c r="F106" s="260">
        <f t="shared" ref="F106:H106" si="60">F105*$E$105</f>
        <v>0</v>
      </c>
      <c r="G106" s="260">
        <f t="shared" si="60"/>
        <v>0</v>
      </c>
      <c r="H106" s="260">
        <f t="shared" si="60"/>
        <v>0</v>
      </c>
    </row>
    <row r="107" spans="1:8" ht="15.75" thickBot="1" x14ac:dyDescent="0.3">
      <c r="A107" s="192"/>
      <c r="B107" s="195"/>
      <c r="C107" s="195"/>
      <c r="D107" s="377" t="s">
        <v>93</v>
      </c>
      <c r="E107" s="378"/>
      <c r="F107" s="261">
        <f t="shared" ref="F107:H107" si="61">SUM(F6+F8+F10+F12+F14+F16+F18+F20+F22+F24+F26+F28+F30+F32+F34+F36+F38+F40+F42+F44+F46+F48+F50+F52+F54+F56+F58+F60+F62+F64+F66+F68+F70+F72+F74+F76+F78+F80+F82+F84+F86+F88+F90+F92+F94+F96+F98+F100+F102+F104+F106)</f>
        <v>2434.3000000000002</v>
      </c>
      <c r="G107" s="261">
        <f t="shared" si="61"/>
        <v>1669.51</v>
      </c>
      <c r="H107" s="261">
        <f t="shared" si="61"/>
        <v>1889.18</v>
      </c>
    </row>
    <row r="108" spans="1:8" ht="15.75" thickBot="1" x14ac:dyDescent="0.3">
      <c r="D108" s="379" t="s">
        <v>312</v>
      </c>
      <c r="E108" s="380"/>
      <c r="F108" s="196">
        <f>'ASG - Superintendencia (Int)'!A215+'ASG - Superintendencia (Ext)'!A215</f>
        <v>11</v>
      </c>
      <c r="G108" s="197">
        <f>'ASG - Posto Av'!A215</f>
        <v>1</v>
      </c>
      <c r="H108" s="197">
        <f>'ASG - DPF_PAC'!A215</f>
        <v>1</v>
      </c>
    </row>
    <row r="109" spans="1:8" ht="15.75" thickBot="1" x14ac:dyDescent="0.3">
      <c r="D109" s="373" t="s">
        <v>347</v>
      </c>
      <c r="E109" s="374"/>
      <c r="F109" s="262">
        <f t="shared" ref="F109" si="62">F107/F108</f>
        <v>221.3</v>
      </c>
      <c r="G109" s="242">
        <f t="shared" ref="G109" si="63">G107/G108</f>
        <v>1669.51</v>
      </c>
      <c r="H109" s="242">
        <f t="shared" ref="H109" si="64">H107/H108</f>
        <v>1889.18</v>
      </c>
    </row>
  </sheetData>
  <protectedRanges>
    <protectedRange sqref="E5:E106" name="Intervalo1_1"/>
  </protectedRanges>
  <mergeCells count="265">
    <mergeCell ref="A19:A20"/>
    <mergeCell ref="B19:B20"/>
    <mergeCell ref="C19:C20"/>
    <mergeCell ref="D19:D20"/>
    <mergeCell ref="E19:E20"/>
    <mergeCell ref="D21:D22"/>
    <mergeCell ref="A27:A28"/>
    <mergeCell ref="E91:E92"/>
    <mergeCell ref="A93:A94"/>
    <mergeCell ref="B93:B94"/>
    <mergeCell ref="C93:C94"/>
    <mergeCell ref="D93:D94"/>
    <mergeCell ref="E93:E94"/>
    <mergeCell ref="A91:A92"/>
    <mergeCell ref="C21:C22"/>
    <mergeCell ref="A87:A88"/>
    <mergeCell ref="B87:B88"/>
    <mergeCell ref="C87:C88"/>
    <mergeCell ref="D87:D88"/>
    <mergeCell ref="E87:E88"/>
    <mergeCell ref="A89:A90"/>
    <mergeCell ref="B89:B90"/>
    <mergeCell ref="C89:C90"/>
    <mergeCell ref="D89:D90"/>
    <mergeCell ref="C5:C6"/>
    <mergeCell ref="D5:D6"/>
    <mergeCell ref="E5:E6"/>
    <mergeCell ref="A9:A10"/>
    <mergeCell ref="B9:B10"/>
    <mergeCell ref="C9:C10"/>
    <mergeCell ref="D9:D10"/>
    <mergeCell ref="E9:E10"/>
    <mergeCell ref="E11:E12"/>
    <mergeCell ref="A11:A12"/>
    <mergeCell ref="B11:B12"/>
    <mergeCell ref="C11:C12"/>
    <mergeCell ref="D11:D12"/>
    <mergeCell ref="B1:F1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  <mergeCell ref="A3:A4"/>
    <mergeCell ref="B3:B4"/>
    <mergeCell ref="C3:C4"/>
    <mergeCell ref="D3:D4"/>
    <mergeCell ref="E3:E4"/>
    <mergeCell ref="F3:H3"/>
    <mergeCell ref="A15:A16"/>
    <mergeCell ref="B15:B16"/>
    <mergeCell ref="C15:C16"/>
    <mergeCell ref="D15:D16"/>
    <mergeCell ref="E15:E16"/>
    <mergeCell ref="A5:A6"/>
    <mergeCell ref="B5:B6"/>
    <mergeCell ref="B27:B28"/>
    <mergeCell ref="C27:C28"/>
    <mergeCell ref="D27:D28"/>
    <mergeCell ref="E27:E28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1:A22"/>
    <mergeCell ref="B21:B22"/>
    <mergeCell ref="A31:A32"/>
    <mergeCell ref="B31:B32"/>
    <mergeCell ref="C31:C32"/>
    <mergeCell ref="D31:D32"/>
    <mergeCell ref="E31:E32"/>
    <mergeCell ref="B37:B38"/>
    <mergeCell ref="C37:C38"/>
    <mergeCell ref="D37:D38"/>
    <mergeCell ref="E37:E38"/>
    <mergeCell ref="E33:E34"/>
    <mergeCell ref="A33:A34"/>
    <mergeCell ref="B33:B34"/>
    <mergeCell ref="C33:C34"/>
    <mergeCell ref="D33:D34"/>
    <mergeCell ref="A37:A38"/>
    <mergeCell ref="A43:A44"/>
    <mergeCell ref="B43:B44"/>
    <mergeCell ref="C43:C44"/>
    <mergeCell ref="D43:D44"/>
    <mergeCell ref="E43:E44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A59:A60"/>
    <mergeCell ref="B59:B60"/>
    <mergeCell ref="C59:C60"/>
    <mergeCell ref="D59:D60"/>
    <mergeCell ref="E59:E60"/>
    <mergeCell ref="A49:A50"/>
    <mergeCell ref="B49:B50"/>
    <mergeCell ref="C49:C50"/>
    <mergeCell ref="D49:D50"/>
    <mergeCell ref="E49:E50"/>
    <mergeCell ref="A53:A54"/>
    <mergeCell ref="B53:B54"/>
    <mergeCell ref="C53:C54"/>
    <mergeCell ref="D53:D54"/>
    <mergeCell ref="E53:E54"/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A61:A62"/>
    <mergeCell ref="B61:B62"/>
    <mergeCell ref="C61:C62"/>
    <mergeCell ref="D61:D62"/>
    <mergeCell ref="E61:E62"/>
    <mergeCell ref="A71:A72"/>
    <mergeCell ref="B71:B72"/>
    <mergeCell ref="C71:C72"/>
    <mergeCell ref="D71:D72"/>
    <mergeCell ref="E71:E72"/>
    <mergeCell ref="D65:D66"/>
    <mergeCell ref="E65:E66"/>
    <mergeCell ref="A67:A68"/>
    <mergeCell ref="B67:B68"/>
    <mergeCell ref="C67:C68"/>
    <mergeCell ref="D67:D68"/>
    <mergeCell ref="E67:E68"/>
    <mergeCell ref="A69:A70"/>
    <mergeCell ref="B69:B70"/>
    <mergeCell ref="C69:C70"/>
    <mergeCell ref="A63:A64"/>
    <mergeCell ref="B63:B64"/>
    <mergeCell ref="C63:C64"/>
    <mergeCell ref="D63:D64"/>
    <mergeCell ref="D107:E107"/>
    <mergeCell ref="D108:E108"/>
    <mergeCell ref="A29:A30"/>
    <mergeCell ref="A39:A40"/>
    <mergeCell ref="B39:B40"/>
    <mergeCell ref="C39:C40"/>
    <mergeCell ref="D39:D40"/>
    <mergeCell ref="A41:A42"/>
    <mergeCell ref="B41:B42"/>
    <mergeCell ref="C41:C42"/>
    <mergeCell ref="D41:D42"/>
    <mergeCell ref="E41:E42"/>
    <mergeCell ref="A35:A36"/>
    <mergeCell ref="B35:B36"/>
    <mergeCell ref="C35:C36"/>
    <mergeCell ref="D35:D36"/>
    <mergeCell ref="E35:E36"/>
    <mergeCell ref="E55:E56"/>
    <mergeCell ref="A51:A52"/>
    <mergeCell ref="B51:B52"/>
    <mergeCell ref="C51:C52"/>
    <mergeCell ref="D51:D52"/>
    <mergeCell ref="E51:E52"/>
    <mergeCell ref="E77:E78"/>
    <mergeCell ref="D109:E109"/>
    <mergeCell ref="A7:A8"/>
    <mergeCell ref="B7:B8"/>
    <mergeCell ref="C7:C8"/>
    <mergeCell ref="D7:D8"/>
    <mergeCell ref="E7:E8"/>
    <mergeCell ref="B29:B30"/>
    <mergeCell ref="E29:E30"/>
    <mergeCell ref="A97:A98"/>
    <mergeCell ref="B97:B98"/>
    <mergeCell ref="C97:C98"/>
    <mergeCell ref="D97:D98"/>
    <mergeCell ref="E97:E98"/>
    <mergeCell ref="A65:A66"/>
    <mergeCell ref="B65:B66"/>
    <mergeCell ref="C65:C66"/>
    <mergeCell ref="E39:E40"/>
    <mergeCell ref="D29:D30"/>
    <mergeCell ref="C29:C30"/>
    <mergeCell ref="D69:D70"/>
    <mergeCell ref="E69:E70"/>
    <mergeCell ref="B77:B78"/>
    <mergeCell ref="C77:C78"/>
    <mergeCell ref="D77:D78"/>
    <mergeCell ref="E63:E64"/>
    <mergeCell ref="A105:A106"/>
    <mergeCell ref="B105:B106"/>
    <mergeCell ref="C105:C106"/>
    <mergeCell ref="D105:D106"/>
    <mergeCell ref="E105:E106"/>
    <mergeCell ref="A99:A100"/>
    <mergeCell ref="B99:B100"/>
    <mergeCell ref="C99:C100"/>
    <mergeCell ref="D99:D100"/>
    <mergeCell ref="E99:E100"/>
    <mergeCell ref="A101:A102"/>
    <mergeCell ref="B101:B102"/>
    <mergeCell ref="C101:C102"/>
    <mergeCell ref="D101:D102"/>
    <mergeCell ref="E101:E102"/>
    <mergeCell ref="A103:A104"/>
    <mergeCell ref="B91:B92"/>
    <mergeCell ref="C91:C92"/>
    <mergeCell ref="D91:D92"/>
    <mergeCell ref="B103:B104"/>
    <mergeCell ref="C103:C104"/>
    <mergeCell ref="D103:D104"/>
    <mergeCell ref="E103:E104"/>
    <mergeCell ref="A95:A96"/>
    <mergeCell ref="B95:B96"/>
    <mergeCell ref="C95:C96"/>
    <mergeCell ref="D95:D96"/>
    <mergeCell ref="E95:E96"/>
    <mergeCell ref="A81:A82"/>
    <mergeCell ref="B81:B82"/>
    <mergeCell ref="C81:C82"/>
    <mergeCell ref="D81:D82"/>
    <mergeCell ref="E81:E82"/>
    <mergeCell ref="B85:B86"/>
    <mergeCell ref="C85:C86"/>
    <mergeCell ref="D85:D86"/>
    <mergeCell ref="E85:E86"/>
    <mergeCell ref="E89:E90"/>
    <mergeCell ref="A83:A84"/>
    <mergeCell ref="B83:B84"/>
    <mergeCell ref="C83:C84"/>
    <mergeCell ref="D83:D84"/>
    <mergeCell ref="E83:E84"/>
    <mergeCell ref="A85:A86"/>
    <mergeCell ref="A73:A74"/>
    <mergeCell ref="B73:B74"/>
    <mergeCell ref="C73:C74"/>
    <mergeCell ref="D73:D74"/>
    <mergeCell ref="E73:E74"/>
    <mergeCell ref="A75:A76"/>
    <mergeCell ref="B75:B76"/>
    <mergeCell ref="A79:A80"/>
    <mergeCell ref="B79:B80"/>
    <mergeCell ref="C79:C80"/>
    <mergeCell ref="D79:D80"/>
    <mergeCell ref="E79:E80"/>
    <mergeCell ref="A77:A78"/>
    <mergeCell ref="C75:C76"/>
    <mergeCell ref="D75:D76"/>
    <mergeCell ref="E75:E7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DB7F-5658-4438-9A2B-94099094B0E7}">
  <sheetPr codeName="Planilha6">
    <tabColor theme="7" tint="-0.249977111117893"/>
  </sheetPr>
  <dimension ref="A2:I111"/>
  <sheetViews>
    <sheetView workbookViewId="0">
      <pane ySplit="1545" topLeftCell="A97" activePane="bottomLeft"/>
      <selection activeCell="G4" sqref="G4"/>
      <selection pane="bottomLeft" activeCell="G111" sqref="G111"/>
    </sheetView>
  </sheetViews>
  <sheetFormatPr defaultColWidth="9.140625" defaultRowHeight="15" x14ac:dyDescent="0.25"/>
  <cols>
    <col min="1" max="1" width="5.85546875" style="191" customWidth="1"/>
    <col min="2" max="2" width="60.28515625" style="191" customWidth="1"/>
    <col min="3" max="4" width="12.7109375" style="206" customWidth="1"/>
    <col min="5" max="5" width="14.42578125" style="206" customWidth="1"/>
    <col min="6" max="6" width="12.140625" style="191" bestFit="1" customWidth="1"/>
    <col min="7" max="7" width="9.5703125" style="191" bestFit="1" customWidth="1"/>
    <col min="8" max="9" width="10.85546875" style="191" bestFit="1" customWidth="1"/>
    <col min="10" max="16384" width="9.140625" style="191"/>
  </cols>
  <sheetData>
    <row r="2" spans="1:9" ht="15.75" thickBot="1" x14ac:dyDescent="0.3"/>
    <row r="3" spans="1:9" ht="15.75" customHeight="1" thickBot="1" x14ac:dyDescent="0.3">
      <c r="A3" s="499" t="s">
        <v>292</v>
      </c>
      <c r="B3" s="504" t="s">
        <v>319</v>
      </c>
      <c r="C3" s="499" t="s">
        <v>343</v>
      </c>
      <c r="D3" s="499" t="s">
        <v>252</v>
      </c>
      <c r="E3" s="499" t="s">
        <v>9</v>
      </c>
      <c r="F3" s="499" t="s">
        <v>344</v>
      </c>
      <c r="G3" s="501" t="s">
        <v>447</v>
      </c>
      <c r="H3" s="502"/>
      <c r="I3" s="503"/>
    </row>
    <row r="4" spans="1:9" ht="15.75" thickBot="1" x14ac:dyDescent="0.3">
      <c r="A4" s="500"/>
      <c r="B4" s="505"/>
      <c r="C4" s="500"/>
      <c r="D4" s="500"/>
      <c r="E4" s="500"/>
      <c r="F4" s="500"/>
      <c r="G4" s="264" t="s">
        <v>125</v>
      </c>
      <c r="H4" s="265" t="s">
        <v>445</v>
      </c>
      <c r="I4" s="265" t="s">
        <v>440</v>
      </c>
    </row>
    <row r="5" spans="1:9" x14ac:dyDescent="0.25">
      <c r="A5" s="427">
        <v>1</v>
      </c>
      <c r="B5" s="443" t="s">
        <v>366</v>
      </c>
      <c r="C5" s="469" t="s">
        <v>345</v>
      </c>
      <c r="D5" s="478">
        <v>451680</v>
      </c>
      <c r="E5" s="482">
        <v>120</v>
      </c>
      <c r="F5" s="494">
        <v>360.71</v>
      </c>
      <c r="G5" s="205">
        <v>1</v>
      </c>
      <c r="H5" s="205">
        <v>1</v>
      </c>
      <c r="I5" s="205">
        <v>1</v>
      </c>
    </row>
    <row r="6" spans="1:9" ht="45.75" customHeight="1" thickBot="1" x14ac:dyDescent="0.3">
      <c r="A6" s="428"/>
      <c r="B6" s="444"/>
      <c r="C6" s="470"/>
      <c r="D6" s="479"/>
      <c r="E6" s="483"/>
      <c r="F6" s="495"/>
      <c r="G6" s="243">
        <f t="shared" ref="G6:I6" si="0">G5*$F$5/$E$5</f>
        <v>3.01</v>
      </c>
      <c r="H6" s="243">
        <f t="shared" si="0"/>
        <v>3.01</v>
      </c>
      <c r="I6" s="243">
        <f t="shared" si="0"/>
        <v>3.01</v>
      </c>
    </row>
    <row r="7" spans="1:9" x14ac:dyDescent="0.25">
      <c r="A7" s="421">
        <v>2</v>
      </c>
      <c r="B7" s="445" t="s">
        <v>365</v>
      </c>
      <c r="C7" s="471" t="s">
        <v>345</v>
      </c>
      <c r="D7" s="480">
        <v>443451</v>
      </c>
      <c r="E7" s="484">
        <v>60</v>
      </c>
      <c r="F7" s="405">
        <v>238.1</v>
      </c>
      <c r="G7" s="246">
        <v>2</v>
      </c>
      <c r="H7" s="246">
        <v>2</v>
      </c>
      <c r="I7" s="246">
        <v>2</v>
      </c>
    </row>
    <row r="8" spans="1:9" ht="54" customHeight="1" thickBot="1" x14ac:dyDescent="0.3">
      <c r="A8" s="422"/>
      <c r="B8" s="446"/>
      <c r="C8" s="472"/>
      <c r="D8" s="481"/>
      <c r="E8" s="485"/>
      <c r="F8" s="406"/>
      <c r="G8" s="208">
        <f t="shared" ref="G8:I8" si="1">G7*$F$7/$E$7</f>
        <v>7.94</v>
      </c>
      <c r="H8" s="208">
        <f t="shared" si="1"/>
        <v>7.94</v>
      </c>
      <c r="I8" s="208">
        <f t="shared" si="1"/>
        <v>7.94</v>
      </c>
    </row>
    <row r="9" spans="1:9" x14ac:dyDescent="0.25">
      <c r="A9" s="427">
        <v>3</v>
      </c>
      <c r="B9" s="443" t="s">
        <v>364</v>
      </c>
      <c r="C9" s="469" t="s">
        <v>345</v>
      </c>
      <c r="D9" s="478">
        <v>372442</v>
      </c>
      <c r="E9" s="482">
        <v>36</v>
      </c>
      <c r="F9" s="494">
        <v>9.17</v>
      </c>
      <c r="G9" s="205">
        <v>3</v>
      </c>
      <c r="H9" s="205">
        <v>3</v>
      </c>
      <c r="I9" s="205">
        <v>3</v>
      </c>
    </row>
    <row r="10" spans="1:9" ht="15.75" thickBot="1" x14ac:dyDescent="0.3">
      <c r="A10" s="428"/>
      <c r="B10" s="444"/>
      <c r="C10" s="470"/>
      <c r="D10" s="479"/>
      <c r="E10" s="483"/>
      <c r="F10" s="495"/>
      <c r="G10" s="243">
        <f t="shared" ref="G10:I10" si="2">G9*$F$9/$E$9</f>
        <v>0.76</v>
      </c>
      <c r="H10" s="243">
        <f t="shared" si="2"/>
        <v>0.76</v>
      </c>
      <c r="I10" s="243">
        <f t="shared" si="2"/>
        <v>0.76</v>
      </c>
    </row>
    <row r="11" spans="1:9" ht="14.25" customHeight="1" x14ac:dyDescent="0.25">
      <c r="A11" s="421">
        <v>4</v>
      </c>
      <c r="B11" s="459" t="s">
        <v>363</v>
      </c>
      <c r="C11" s="471" t="s">
        <v>345</v>
      </c>
      <c r="D11" s="480">
        <v>321573</v>
      </c>
      <c r="E11" s="484">
        <v>36</v>
      </c>
      <c r="F11" s="405">
        <v>14.04</v>
      </c>
      <c r="G11" s="253">
        <v>0</v>
      </c>
      <c r="H11" s="253">
        <v>3</v>
      </c>
      <c r="I11" s="253">
        <v>3</v>
      </c>
    </row>
    <row r="12" spans="1:9" ht="34.5" customHeight="1" thickBot="1" x14ac:dyDescent="0.3">
      <c r="A12" s="422"/>
      <c r="B12" s="460"/>
      <c r="C12" s="472"/>
      <c r="D12" s="481"/>
      <c r="E12" s="485"/>
      <c r="F12" s="406"/>
      <c r="G12" s="208">
        <f t="shared" ref="G12:I12" si="3">G11*$F11/$E11</f>
        <v>0</v>
      </c>
      <c r="H12" s="208">
        <f t="shared" si="3"/>
        <v>1.17</v>
      </c>
      <c r="I12" s="208">
        <f t="shared" si="3"/>
        <v>1.17</v>
      </c>
    </row>
    <row r="13" spans="1:9" x14ac:dyDescent="0.25">
      <c r="A13" s="427">
        <v>5</v>
      </c>
      <c r="B13" s="443" t="s">
        <v>362</v>
      </c>
      <c r="C13" s="469" t="s">
        <v>345</v>
      </c>
      <c r="D13" s="478">
        <v>307461</v>
      </c>
      <c r="E13" s="482">
        <v>36</v>
      </c>
      <c r="F13" s="494">
        <v>6.61</v>
      </c>
      <c r="G13" s="205">
        <v>0</v>
      </c>
      <c r="H13" s="205">
        <v>2</v>
      </c>
      <c r="I13" s="205">
        <v>2</v>
      </c>
    </row>
    <row r="14" spans="1:9" ht="15.75" thickBot="1" x14ac:dyDescent="0.3">
      <c r="A14" s="428"/>
      <c r="B14" s="444"/>
      <c r="C14" s="470"/>
      <c r="D14" s="479"/>
      <c r="E14" s="483"/>
      <c r="F14" s="495"/>
      <c r="G14" s="243">
        <f t="shared" ref="G14" si="4">G13*$F13/$E13</f>
        <v>0</v>
      </c>
      <c r="H14" s="243">
        <f t="shared" ref="H14" si="5">H13*$F13/$E13</f>
        <v>0.37</v>
      </c>
      <c r="I14" s="243">
        <f t="shared" ref="I14" si="6">I13*$F13/$E13</f>
        <v>0.37</v>
      </c>
    </row>
    <row r="15" spans="1:9" ht="28.5" customHeight="1" x14ac:dyDescent="0.25">
      <c r="A15" s="421">
        <v>6</v>
      </c>
      <c r="B15" s="445" t="s">
        <v>360</v>
      </c>
      <c r="C15" s="471" t="s">
        <v>345</v>
      </c>
      <c r="D15" s="480">
        <v>342578</v>
      </c>
      <c r="E15" s="484">
        <v>120</v>
      </c>
      <c r="F15" s="405">
        <v>40.47</v>
      </c>
      <c r="G15" s="246">
        <v>0</v>
      </c>
      <c r="H15" s="246">
        <v>0</v>
      </c>
      <c r="I15" s="246">
        <v>0</v>
      </c>
    </row>
    <row r="16" spans="1:9" ht="15.75" thickBot="1" x14ac:dyDescent="0.3">
      <c r="A16" s="422"/>
      <c r="B16" s="446"/>
      <c r="C16" s="472"/>
      <c r="D16" s="481"/>
      <c r="E16" s="485"/>
      <c r="F16" s="406"/>
      <c r="G16" s="208">
        <f t="shared" ref="G16" si="7">G15*$F15/$E15</f>
        <v>0</v>
      </c>
      <c r="H16" s="208">
        <f t="shared" ref="H16" si="8">H15*$F15/$E15</f>
        <v>0</v>
      </c>
      <c r="I16" s="208">
        <f t="shared" ref="I16" si="9">I15*$F15/$E15</f>
        <v>0</v>
      </c>
    </row>
    <row r="17" spans="1:9" ht="51" customHeight="1" x14ac:dyDescent="0.25">
      <c r="A17" s="427">
        <v>7</v>
      </c>
      <c r="B17" s="447" t="s">
        <v>361</v>
      </c>
      <c r="C17" s="469" t="s">
        <v>345</v>
      </c>
      <c r="D17" s="478">
        <v>268235</v>
      </c>
      <c r="E17" s="482">
        <v>80</v>
      </c>
      <c r="F17" s="494">
        <v>162.72999999999999</v>
      </c>
      <c r="G17" s="249">
        <v>0</v>
      </c>
      <c r="H17" s="249">
        <v>1</v>
      </c>
      <c r="I17" s="249">
        <v>1</v>
      </c>
    </row>
    <row r="18" spans="1:9" ht="42.75" customHeight="1" thickBot="1" x14ac:dyDescent="0.3">
      <c r="A18" s="428"/>
      <c r="B18" s="448"/>
      <c r="C18" s="470"/>
      <c r="D18" s="479"/>
      <c r="E18" s="483"/>
      <c r="F18" s="495"/>
      <c r="G18" s="243">
        <f t="shared" ref="G18" si="10">G17*$F17/$E17</f>
        <v>0</v>
      </c>
      <c r="H18" s="243">
        <f t="shared" ref="H18" si="11">H17*$F17/$E17</f>
        <v>2.0299999999999998</v>
      </c>
      <c r="I18" s="243">
        <f t="shared" ref="I18" si="12">I17*$F17/$E17</f>
        <v>2.0299999999999998</v>
      </c>
    </row>
    <row r="19" spans="1:9" ht="60.75" customHeight="1" x14ac:dyDescent="0.25">
      <c r="A19" s="427">
        <v>8</v>
      </c>
      <c r="B19" s="447" t="s">
        <v>367</v>
      </c>
      <c r="C19" s="469" t="s">
        <v>345</v>
      </c>
      <c r="D19" s="478">
        <v>298356</v>
      </c>
      <c r="E19" s="482">
        <v>80</v>
      </c>
      <c r="F19" s="494">
        <v>933.92</v>
      </c>
      <c r="G19" s="205">
        <v>0</v>
      </c>
      <c r="H19" s="205">
        <v>0</v>
      </c>
      <c r="I19" s="205">
        <v>0</v>
      </c>
    </row>
    <row r="20" spans="1:9" ht="40.5" customHeight="1" thickBot="1" x14ac:dyDescent="0.3">
      <c r="A20" s="428"/>
      <c r="B20" s="448"/>
      <c r="C20" s="470"/>
      <c r="D20" s="479"/>
      <c r="E20" s="483"/>
      <c r="F20" s="495"/>
      <c r="G20" s="243">
        <f t="shared" ref="G20" si="13">G19*$F19/$E19</f>
        <v>0</v>
      </c>
      <c r="H20" s="243">
        <f t="shared" ref="H20" si="14">H19*$F19/$E19</f>
        <v>0</v>
      </c>
      <c r="I20" s="243">
        <f t="shared" ref="I20" si="15">I19*$F19/$E19</f>
        <v>0</v>
      </c>
    </row>
    <row r="21" spans="1:9" x14ac:dyDescent="0.25">
      <c r="A21" s="421">
        <v>9</v>
      </c>
      <c r="B21" s="445" t="s">
        <v>368</v>
      </c>
      <c r="C21" s="471" t="s">
        <v>345</v>
      </c>
      <c r="D21" s="480">
        <v>446101</v>
      </c>
      <c r="E21" s="484">
        <v>60</v>
      </c>
      <c r="F21" s="405">
        <v>5.56</v>
      </c>
      <c r="G21" s="246">
        <v>1</v>
      </c>
      <c r="H21" s="246">
        <v>2</v>
      </c>
      <c r="I21" s="246">
        <v>1</v>
      </c>
    </row>
    <row r="22" spans="1:9" ht="42.75" customHeight="1" thickBot="1" x14ac:dyDescent="0.3">
      <c r="A22" s="422"/>
      <c r="B22" s="446"/>
      <c r="C22" s="472"/>
      <c r="D22" s="481"/>
      <c r="E22" s="485"/>
      <c r="F22" s="406"/>
      <c r="G22" s="208">
        <f t="shared" ref="G22" si="16">G21*$F21/$E21</f>
        <v>0.09</v>
      </c>
      <c r="H22" s="208">
        <f t="shared" ref="H22" si="17">H21*$F21/$E21</f>
        <v>0.19</v>
      </c>
      <c r="I22" s="208">
        <f t="shared" ref="I22" si="18">I21*$F21/$E21</f>
        <v>0.09</v>
      </c>
    </row>
    <row r="23" spans="1:9" x14ac:dyDescent="0.25">
      <c r="A23" s="427">
        <v>10</v>
      </c>
      <c r="B23" s="443" t="s">
        <v>369</v>
      </c>
      <c r="C23" s="469" t="s">
        <v>345</v>
      </c>
      <c r="D23" s="478">
        <v>241711</v>
      </c>
      <c r="E23" s="482">
        <v>60</v>
      </c>
      <c r="F23" s="494">
        <v>8.0299999999999994</v>
      </c>
      <c r="G23" s="205">
        <v>3</v>
      </c>
      <c r="H23" s="205">
        <v>2</v>
      </c>
      <c r="I23" s="205">
        <v>1</v>
      </c>
    </row>
    <row r="24" spans="1:9" ht="50.25" customHeight="1" thickBot="1" x14ac:dyDescent="0.3">
      <c r="A24" s="428"/>
      <c r="B24" s="444"/>
      <c r="C24" s="470"/>
      <c r="D24" s="479"/>
      <c r="E24" s="483"/>
      <c r="F24" s="495"/>
      <c r="G24" s="243">
        <f t="shared" ref="G24" si="19">G23*$F23/$E23</f>
        <v>0.4</v>
      </c>
      <c r="H24" s="243">
        <f t="shared" ref="H24" si="20">H23*$F23/$E23</f>
        <v>0.27</v>
      </c>
      <c r="I24" s="243">
        <f t="shared" ref="I24" si="21">I23*$F23/$E23</f>
        <v>0.13</v>
      </c>
    </row>
    <row r="25" spans="1:9" x14ac:dyDescent="0.25">
      <c r="A25" s="421">
        <v>11</v>
      </c>
      <c r="B25" s="459" t="s">
        <v>370</v>
      </c>
      <c r="C25" s="471" t="s">
        <v>345</v>
      </c>
      <c r="D25" s="480">
        <v>460930</v>
      </c>
      <c r="E25" s="484">
        <v>120</v>
      </c>
      <c r="F25" s="405">
        <v>1220</v>
      </c>
      <c r="G25" s="246">
        <v>0</v>
      </c>
      <c r="H25" s="246">
        <v>1</v>
      </c>
      <c r="I25" s="246">
        <v>0</v>
      </c>
    </row>
    <row r="26" spans="1:9" ht="93.75" customHeight="1" x14ac:dyDescent="0.25">
      <c r="A26" s="422"/>
      <c r="B26" s="460"/>
      <c r="C26" s="472"/>
      <c r="D26" s="481"/>
      <c r="E26" s="485"/>
      <c r="F26" s="406"/>
      <c r="G26" s="208">
        <f t="shared" ref="G26" si="22">G25*$F25/$E25</f>
        <v>0</v>
      </c>
      <c r="H26" s="208">
        <f t="shared" ref="H26" si="23">H25*$F25/$E25</f>
        <v>10.17</v>
      </c>
      <c r="I26" s="208">
        <f t="shared" ref="I26" si="24">I25*$F25/$E25</f>
        <v>0</v>
      </c>
    </row>
    <row r="27" spans="1:9" x14ac:dyDescent="0.25">
      <c r="A27" s="421">
        <v>12</v>
      </c>
      <c r="B27" s="459" t="s">
        <v>371</v>
      </c>
      <c r="C27" s="471" t="s">
        <v>345</v>
      </c>
      <c r="D27" s="480" t="s">
        <v>400</v>
      </c>
      <c r="E27" s="484">
        <v>120</v>
      </c>
      <c r="F27" s="405">
        <v>2188.7800000000002</v>
      </c>
      <c r="G27" s="246">
        <v>0</v>
      </c>
      <c r="H27" s="246">
        <v>0</v>
      </c>
      <c r="I27" s="246">
        <v>0</v>
      </c>
    </row>
    <row r="28" spans="1:9" ht="96.75" customHeight="1" thickBot="1" x14ac:dyDescent="0.3">
      <c r="A28" s="422"/>
      <c r="B28" s="460"/>
      <c r="C28" s="472"/>
      <c r="D28" s="481"/>
      <c r="E28" s="485"/>
      <c r="F28" s="406"/>
      <c r="G28" s="208">
        <f t="shared" ref="G28" si="25">G27*$F27/$E27</f>
        <v>0</v>
      </c>
      <c r="H28" s="208">
        <f t="shared" ref="H28" si="26">H27*$F27/$E27</f>
        <v>0</v>
      </c>
      <c r="I28" s="208">
        <f t="shared" ref="I28" si="27">I27*$F27/$E27</f>
        <v>0</v>
      </c>
    </row>
    <row r="29" spans="1:9" x14ac:dyDescent="0.25">
      <c r="A29" s="461">
        <v>13</v>
      </c>
      <c r="B29" s="463" t="s">
        <v>372</v>
      </c>
      <c r="C29" s="469" t="s">
        <v>345</v>
      </c>
      <c r="D29" s="478">
        <v>323193</v>
      </c>
      <c r="E29" s="482">
        <v>120</v>
      </c>
      <c r="F29" s="494">
        <v>216.81</v>
      </c>
      <c r="G29" s="256">
        <v>1</v>
      </c>
      <c r="H29" s="256">
        <v>1</v>
      </c>
      <c r="I29" s="256">
        <v>1</v>
      </c>
    </row>
    <row r="30" spans="1:9" ht="105.75" customHeight="1" thickBot="1" x14ac:dyDescent="0.3">
      <c r="A30" s="462"/>
      <c r="B30" s="464"/>
      <c r="C30" s="470"/>
      <c r="D30" s="479"/>
      <c r="E30" s="483"/>
      <c r="F30" s="495"/>
      <c r="G30" s="243">
        <f t="shared" ref="G30" si="28">G29*$F29/$E29</f>
        <v>1.81</v>
      </c>
      <c r="H30" s="243">
        <f t="shared" ref="H30" si="29">H29*$F29/$E29</f>
        <v>1.81</v>
      </c>
      <c r="I30" s="243">
        <f t="shared" ref="I30" si="30">I29*$F29/$E29</f>
        <v>1.81</v>
      </c>
    </row>
    <row r="31" spans="1:9" x14ac:dyDescent="0.25">
      <c r="A31" s="467">
        <v>14</v>
      </c>
      <c r="B31" s="465" t="s">
        <v>373</v>
      </c>
      <c r="C31" s="471" t="s">
        <v>345</v>
      </c>
      <c r="D31" s="480">
        <v>456462</v>
      </c>
      <c r="E31" s="484">
        <v>120</v>
      </c>
      <c r="F31" s="405">
        <v>516.66</v>
      </c>
      <c r="G31" s="255">
        <v>0</v>
      </c>
      <c r="H31" s="255">
        <v>1</v>
      </c>
      <c r="I31" s="255">
        <v>1</v>
      </c>
    </row>
    <row r="32" spans="1:9" ht="149.25" customHeight="1" thickBot="1" x14ac:dyDescent="0.3">
      <c r="A32" s="468"/>
      <c r="B32" s="466"/>
      <c r="C32" s="472"/>
      <c r="D32" s="481"/>
      <c r="E32" s="485"/>
      <c r="F32" s="406"/>
      <c r="G32" s="208">
        <f t="shared" ref="G32" si="31">G31*$F31/$E31</f>
        <v>0</v>
      </c>
      <c r="H32" s="208">
        <f t="shared" ref="H32" si="32">H31*$F31/$E31</f>
        <v>4.3099999999999996</v>
      </c>
      <c r="I32" s="208">
        <f t="shared" ref="I32" si="33">I31*$F31/$E31</f>
        <v>4.3099999999999996</v>
      </c>
    </row>
    <row r="33" spans="1:9" x14ac:dyDescent="0.25">
      <c r="A33" s="427">
        <v>15</v>
      </c>
      <c r="B33" s="439" t="s">
        <v>374</v>
      </c>
      <c r="C33" s="469" t="s">
        <v>345</v>
      </c>
      <c r="D33" s="478">
        <v>448501</v>
      </c>
      <c r="E33" s="482">
        <v>60</v>
      </c>
      <c r="F33" s="494">
        <v>2.2599999999999998</v>
      </c>
      <c r="G33" s="205">
        <v>4</v>
      </c>
      <c r="H33" s="205">
        <v>2</v>
      </c>
      <c r="I33" s="205">
        <v>2</v>
      </c>
    </row>
    <row r="34" spans="1:9" ht="95.25" customHeight="1" thickBot="1" x14ac:dyDescent="0.3">
      <c r="A34" s="428"/>
      <c r="B34" s="440"/>
      <c r="C34" s="470"/>
      <c r="D34" s="479"/>
      <c r="E34" s="483"/>
      <c r="F34" s="495"/>
      <c r="G34" s="243">
        <f t="shared" ref="G34" si="34">G33*$F33/$E33</f>
        <v>0.15</v>
      </c>
      <c r="H34" s="243">
        <f t="shared" ref="H34" si="35">H33*$F33/$E33</f>
        <v>0.08</v>
      </c>
      <c r="I34" s="243">
        <f t="shared" ref="I34" si="36">I33*$F33/$E33</f>
        <v>0.08</v>
      </c>
    </row>
    <row r="35" spans="1:9" x14ac:dyDescent="0.25">
      <c r="A35" s="421">
        <v>16</v>
      </c>
      <c r="B35" s="423" t="s">
        <v>375</v>
      </c>
      <c r="C35" s="471" t="s">
        <v>345</v>
      </c>
      <c r="D35" s="480">
        <v>314565</v>
      </c>
      <c r="E35" s="484">
        <v>60</v>
      </c>
      <c r="F35" s="405">
        <v>16.73</v>
      </c>
      <c r="G35" s="246">
        <v>3</v>
      </c>
      <c r="H35" s="246">
        <v>0</v>
      </c>
      <c r="I35" s="246">
        <v>0</v>
      </c>
    </row>
    <row r="36" spans="1:9" ht="66" customHeight="1" thickBot="1" x14ac:dyDescent="0.3">
      <c r="A36" s="422"/>
      <c r="B36" s="424"/>
      <c r="C36" s="472"/>
      <c r="D36" s="481"/>
      <c r="E36" s="485"/>
      <c r="F36" s="406"/>
      <c r="G36" s="208">
        <f t="shared" ref="G36" si="37">G35*$F35/$E35</f>
        <v>0.84</v>
      </c>
      <c r="H36" s="208">
        <f t="shared" ref="H36" si="38">H35*$F35/$E35</f>
        <v>0</v>
      </c>
      <c r="I36" s="208">
        <f t="shared" ref="I36" si="39">I35*$F35/$E35</f>
        <v>0</v>
      </c>
    </row>
    <row r="37" spans="1:9" ht="43.5" customHeight="1" x14ac:dyDescent="0.25">
      <c r="A37" s="427">
        <v>17</v>
      </c>
      <c r="B37" s="439" t="s">
        <v>376</v>
      </c>
      <c r="C37" s="469" t="s">
        <v>345</v>
      </c>
      <c r="D37" s="478">
        <v>449541</v>
      </c>
      <c r="E37" s="482">
        <v>120</v>
      </c>
      <c r="F37" s="494">
        <v>8.1300000000000008</v>
      </c>
      <c r="G37" s="205">
        <v>0</v>
      </c>
      <c r="H37" s="205">
        <v>2</v>
      </c>
      <c r="I37" s="205">
        <v>2</v>
      </c>
    </row>
    <row r="38" spans="1:9" ht="51" customHeight="1" thickBot="1" x14ac:dyDescent="0.3">
      <c r="A38" s="428"/>
      <c r="B38" s="440"/>
      <c r="C38" s="470"/>
      <c r="D38" s="479"/>
      <c r="E38" s="483"/>
      <c r="F38" s="495"/>
      <c r="G38" s="243">
        <f t="shared" ref="G38" si="40">G37*$F37/$E37</f>
        <v>0</v>
      </c>
      <c r="H38" s="243">
        <f t="shared" ref="H38" si="41">H37*$F37/$E37</f>
        <v>0.14000000000000001</v>
      </c>
      <c r="I38" s="243">
        <f t="shared" ref="I38" si="42">I37*$F37/$E37</f>
        <v>0.14000000000000001</v>
      </c>
    </row>
    <row r="39" spans="1:9" x14ac:dyDescent="0.25">
      <c r="A39" s="427">
        <v>18</v>
      </c>
      <c r="B39" s="431" t="s">
        <v>378</v>
      </c>
      <c r="C39" s="469" t="s">
        <v>345</v>
      </c>
      <c r="D39" s="478">
        <v>449983</v>
      </c>
      <c r="E39" s="482">
        <v>120</v>
      </c>
      <c r="F39" s="494">
        <v>911.99</v>
      </c>
      <c r="G39" s="249">
        <v>1</v>
      </c>
      <c r="H39" s="249">
        <v>1</v>
      </c>
      <c r="I39" s="249">
        <v>1</v>
      </c>
    </row>
    <row r="40" spans="1:9" ht="158.25" customHeight="1" thickBot="1" x14ac:dyDescent="0.3">
      <c r="A40" s="428"/>
      <c r="B40" s="432"/>
      <c r="C40" s="470"/>
      <c r="D40" s="479"/>
      <c r="E40" s="483"/>
      <c r="F40" s="495"/>
      <c r="G40" s="243">
        <f t="shared" ref="G40" si="43">G39*$F39/$E39</f>
        <v>7.6</v>
      </c>
      <c r="H40" s="243">
        <f t="shared" ref="H40" si="44">H39*$F39/$E39</f>
        <v>7.6</v>
      </c>
      <c r="I40" s="243">
        <f t="shared" ref="I40" si="45">I39*$F39/$E39</f>
        <v>7.6</v>
      </c>
    </row>
    <row r="41" spans="1:9" x14ac:dyDescent="0.25">
      <c r="A41" s="421">
        <v>19</v>
      </c>
      <c r="B41" s="423" t="s">
        <v>377</v>
      </c>
      <c r="C41" s="413" t="s">
        <v>323</v>
      </c>
      <c r="D41" s="480">
        <v>397783</v>
      </c>
      <c r="E41" s="484">
        <v>12</v>
      </c>
      <c r="F41" s="498">
        <v>3.89</v>
      </c>
      <c r="G41" s="246">
        <v>4</v>
      </c>
      <c r="H41" s="246">
        <v>6</v>
      </c>
      <c r="I41" s="246">
        <v>6</v>
      </c>
    </row>
    <row r="42" spans="1:9" ht="108" customHeight="1" thickBot="1" x14ac:dyDescent="0.3">
      <c r="A42" s="422"/>
      <c r="B42" s="424"/>
      <c r="C42" s="414"/>
      <c r="D42" s="481"/>
      <c r="E42" s="485"/>
      <c r="F42" s="498"/>
      <c r="G42" s="208">
        <f t="shared" ref="G42" si="46">G41*$F41/$E41</f>
        <v>1.3</v>
      </c>
      <c r="H42" s="208">
        <f t="shared" ref="H42" si="47">H41*$F41/$E41</f>
        <v>1.95</v>
      </c>
      <c r="I42" s="208">
        <f t="shared" ref="I42" si="48">I41*$F41/$E41</f>
        <v>1.95</v>
      </c>
    </row>
    <row r="43" spans="1:9" x14ac:dyDescent="0.25">
      <c r="A43" s="427">
        <v>20</v>
      </c>
      <c r="B43" s="431" t="s">
        <v>379</v>
      </c>
      <c r="C43" s="415" t="s">
        <v>323</v>
      </c>
      <c r="D43" s="478">
        <v>351226</v>
      </c>
      <c r="E43" s="482">
        <v>36</v>
      </c>
      <c r="F43" s="494">
        <v>32.549999999999997</v>
      </c>
      <c r="G43" s="249">
        <v>1</v>
      </c>
      <c r="H43" s="249">
        <v>3</v>
      </c>
      <c r="I43" s="249">
        <v>3</v>
      </c>
    </row>
    <row r="44" spans="1:9" ht="78.75" customHeight="1" thickBot="1" x14ac:dyDescent="0.3">
      <c r="A44" s="428"/>
      <c r="B44" s="432"/>
      <c r="C44" s="416"/>
      <c r="D44" s="479"/>
      <c r="E44" s="483"/>
      <c r="F44" s="495"/>
      <c r="G44" s="243">
        <f t="shared" ref="G44" si="49">G43*$F43/$E43</f>
        <v>0.9</v>
      </c>
      <c r="H44" s="243">
        <f t="shared" ref="H44" si="50">H43*$F43/$E43</f>
        <v>2.71</v>
      </c>
      <c r="I44" s="243">
        <f t="shared" ref="I44" si="51">I43*$F43/$E43</f>
        <v>2.71</v>
      </c>
    </row>
    <row r="45" spans="1:9" x14ac:dyDescent="0.25">
      <c r="A45" s="451">
        <v>21</v>
      </c>
      <c r="B45" s="449" t="s">
        <v>381</v>
      </c>
      <c r="C45" s="480" t="s">
        <v>380</v>
      </c>
      <c r="D45" s="480">
        <v>436827</v>
      </c>
      <c r="E45" s="484">
        <v>60</v>
      </c>
      <c r="F45" s="405">
        <v>177.35</v>
      </c>
      <c r="G45" s="254">
        <v>0</v>
      </c>
      <c r="H45" s="254">
        <v>1</v>
      </c>
      <c r="I45" s="254">
        <v>1</v>
      </c>
    </row>
    <row r="46" spans="1:9" ht="75.75" customHeight="1" thickBot="1" x14ac:dyDescent="0.3">
      <c r="A46" s="452"/>
      <c r="B46" s="450"/>
      <c r="C46" s="481"/>
      <c r="D46" s="481"/>
      <c r="E46" s="485"/>
      <c r="F46" s="406"/>
      <c r="G46" s="208">
        <f t="shared" ref="G46" si="52">G45*$F45/$E45</f>
        <v>0</v>
      </c>
      <c r="H46" s="208">
        <f t="shared" ref="H46" si="53">H45*$F45/$E45</f>
        <v>2.96</v>
      </c>
      <c r="I46" s="208">
        <f t="shared" ref="I46" si="54">I45*$F45/$E45</f>
        <v>2.96</v>
      </c>
    </row>
    <row r="47" spans="1:9" x14ac:dyDescent="0.25">
      <c r="A47" s="453">
        <v>22</v>
      </c>
      <c r="B47" s="431" t="s">
        <v>382</v>
      </c>
      <c r="C47" s="478" t="s">
        <v>345</v>
      </c>
      <c r="D47" s="478" t="s">
        <v>401</v>
      </c>
      <c r="E47" s="482">
        <v>36</v>
      </c>
      <c r="F47" s="494">
        <v>18.68</v>
      </c>
      <c r="G47" s="249">
        <v>2</v>
      </c>
      <c r="H47" s="249">
        <v>3</v>
      </c>
      <c r="I47" s="249">
        <v>3</v>
      </c>
    </row>
    <row r="48" spans="1:9" ht="129" customHeight="1" thickBot="1" x14ac:dyDescent="0.3">
      <c r="A48" s="454"/>
      <c r="B48" s="432"/>
      <c r="C48" s="479"/>
      <c r="D48" s="479"/>
      <c r="E48" s="483"/>
      <c r="F48" s="495"/>
      <c r="G48" s="243">
        <f t="shared" ref="G48:I48" si="55">G47*$F47/$E47</f>
        <v>1.04</v>
      </c>
      <c r="H48" s="243">
        <f t="shared" si="55"/>
        <v>1.56</v>
      </c>
      <c r="I48" s="243">
        <f t="shared" si="55"/>
        <v>1.56</v>
      </c>
    </row>
    <row r="49" spans="1:9" x14ac:dyDescent="0.25">
      <c r="A49" s="421">
        <v>23</v>
      </c>
      <c r="B49" s="423" t="s">
        <v>383</v>
      </c>
      <c r="C49" s="471" t="s">
        <v>345</v>
      </c>
      <c r="D49" s="480">
        <v>229836</v>
      </c>
      <c r="E49" s="484">
        <v>20</v>
      </c>
      <c r="F49" s="405">
        <v>25.65</v>
      </c>
      <c r="G49" s="246">
        <v>4</v>
      </c>
      <c r="H49" s="246">
        <v>3</v>
      </c>
      <c r="I49" s="246">
        <v>3</v>
      </c>
    </row>
    <row r="50" spans="1:9" ht="137.25" customHeight="1" thickBot="1" x14ac:dyDescent="0.3">
      <c r="A50" s="422"/>
      <c r="B50" s="424"/>
      <c r="C50" s="472"/>
      <c r="D50" s="481"/>
      <c r="E50" s="485"/>
      <c r="F50" s="406"/>
      <c r="G50" s="208">
        <f t="shared" ref="G50" si="56">G49*$F49/$E49</f>
        <v>5.13</v>
      </c>
      <c r="H50" s="208">
        <f t="shared" ref="H50" si="57">H49*$F49/$E49</f>
        <v>3.85</v>
      </c>
      <c r="I50" s="208">
        <f t="shared" ref="I50" si="58">I49*$F49/$E49</f>
        <v>3.85</v>
      </c>
    </row>
    <row r="51" spans="1:9" x14ac:dyDescent="0.25">
      <c r="A51" s="427">
        <v>24</v>
      </c>
      <c r="B51" s="439" t="s">
        <v>384</v>
      </c>
      <c r="C51" s="469" t="s">
        <v>345</v>
      </c>
      <c r="D51" s="478">
        <v>481029</v>
      </c>
      <c r="E51" s="482">
        <v>20</v>
      </c>
      <c r="F51" s="494">
        <v>12.81</v>
      </c>
      <c r="G51" s="205">
        <v>2</v>
      </c>
      <c r="H51" s="205">
        <v>3</v>
      </c>
      <c r="I51" s="205">
        <v>3</v>
      </c>
    </row>
    <row r="52" spans="1:9" ht="87.75" customHeight="1" thickBot="1" x14ac:dyDescent="0.3">
      <c r="A52" s="428"/>
      <c r="B52" s="440"/>
      <c r="C52" s="470"/>
      <c r="D52" s="479"/>
      <c r="E52" s="483"/>
      <c r="F52" s="495"/>
      <c r="G52" s="243">
        <f t="shared" ref="G52" si="59">G51*$F51/$E51</f>
        <v>1.28</v>
      </c>
      <c r="H52" s="243">
        <f t="shared" ref="H52" si="60">H51*$F51/$E51</f>
        <v>1.92</v>
      </c>
      <c r="I52" s="243">
        <f t="shared" ref="I52" si="61">I51*$F51/$E51</f>
        <v>1.92</v>
      </c>
    </row>
    <row r="53" spans="1:9" x14ac:dyDescent="0.25">
      <c r="A53" s="421">
        <v>25</v>
      </c>
      <c r="B53" s="423" t="s">
        <v>385</v>
      </c>
      <c r="C53" s="471" t="s">
        <v>345</v>
      </c>
      <c r="D53" s="480">
        <v>446290</v>
      </c>
      <c r="E53" s="484">
        <v>60</v>
      </c>
      <c r="F53" s="405">
        <v>70.260000000000005</v>
      </c>
      <c r="G53" s="246">
        <v>4</v>
      </c>
      <c r="H53" s="246">
        <v>5</v>
      </c>
      <c r="I53" s="246">
        <v>4</v>
      </c>
    </row>
    <row r="54" spans="1:9" ht="117.75" customHeight="1" thickBot="1" x14ac:dyDescent="0.3">
      <c r="A54" s="422"/>
      <c r="B54" s="424"/>
      <c r="C54" s="472"/>
      <c r="D54" s="481"/>
      <c r="E54" s="485"/>
      <c r="F54" s="406"/>
      <c r="G54" s="208">
        <f t="shared" ref="G54" si="62">G53*$F53/$E53</f>
        <v>4.68</v>
      </c>
      <c r="H54" s="208">
        <f t="shared" ref="H54" si="63">H53*$F53/$E53</f>
        <v>5.86</v>
      </c>
      <c r="I54" s="208">
        <f t="shared" ref="I54" si="64">I53*$F53/$E53</f>
        <v>4.68</v>
      </c>
    </row>
    <row r="55" spans="1:9" x14ac:dyDescent="0.25">
      <c r="A55" s="427">
        <v>26</v>
      </c>
      <c r="B55" s="439" t="s">
        <v>391</v>
      </c>
      <c r="C55" s="469" t="s">
        <v>345</v>
      </c>
      <c r="D55" s="478">
        <v>278323</v>
      </c>
      <c r="E55" s="482">
        <v>20</v>
      </c>
      <c r="F55" s="494">
        <v>4.1100000000000003</v>
      </c>
      <c r="G55" s="205">
        <v>10</v>
      </c>
      <c r="H55" s="205">
        <v>3</v>
      </c>
      <c r="I55" s="205">
        <v>3</v>
      </c>
    </row>
    <row r="56" spans="1:9" ht="50.25" customHeight="1" thickBot="1" x14ac:dyDescent="0.3">
      <c r="A56" s="428"/>
      <c r="B56" s="440"/>
      <c r="C56" s="470"/>
      <c r="D56" s="479"/>
      <c r="E56" s="483"/>
      <c r="F56" s="495"/>
      <c r="G56" s="243">
        <f t="shared" ref="G56" si="65">G55*$F55/$E55</f>
        <v>2.06</v>
      </c>
      <c r="H56" s="243">
        <f t="shared" ref="H56" si="66">H55*$F55/$E55</f>
        <v>0.62</v>
      </c>
      <c r="I56" s="243">
        <f t="shared" ref="I56" si="67">I55*$F55/$E55</f>
        <v>0.62</v>
      </c>
    </row>
    <row r="57" spans="1:9" x14ac:dyDescent="0.25">
      <c r="A57" s="437">
        <v>27</v>
      </c>
      <c r="B57" s="441" t="s">
        <v>386</v>
      </c>
      <c r="C57" s="471" t="s">
        <v>345</v>
      </c>
      <c r="D57" s="480">
        <v>444427</v>
      </c>
      <c r="E57" s="484">
        <v>20</v>
      </c>
      <c r="F57" s="405">
        <v>10.61</v>
      </c>
      <c r="G57" s="253">
        <v>0</v>
      </c>
      <c r="H57" s="253">
        <v>0</v>
      </c>
      <c r="I57" s="253">
        <v>1</v>
      </c>
    </row>
    <row r="58" spans="1:9" ht="93" customHeight="1" thickBot="1" x14ac:dyDescent="0.3">
      <c r="A58" s="438"/>
      <c r="B58" s="442"/>
      <c r="C58" s="472"/>
      <c r="D58" s="481"/>
      <c r="E58" s="485"/>
      <c r="F58" s="406"/>
      <c r="G58" s="208">
        <f t="shared" ref="G58" si="68">G57*$F57/$E57</f>
        <v>0</v>
      </c>
      <c r="H58" s="208">
        <f t="shared" ref="H58" si="69">H57*$F57/$E57</f>
        <v>0</v>
      </c>
      <c r="I58" s="208">
        <f t="shared" ref="I58" si="70">I57*$F57/$E57</f>
        <v>0.53</v>
      </c>
    </row>
    <row r="59" spans="1:9" x14ac:dyDescent="0.25">
      <c r="A59" s="427">
        <v>28</v>
      </c>
      <c r="B59" s="439" t="s">
        <v>387</v>
      </c>
      <c r="C59" s="469" t="s">
        <v>345</v>
      </c>
      <c r="D59" s="478">
        <v>406214</v>
      </c>
      <c r="E59" s="482">
        <v>20</v>
      </c>
      <c r="F59" s="494">
        <v>7.53</v>
      </c>
      <c r="G59" s="205">
        <v>4</v>
      </c>
      <c r="H59" s="205">
        <v>2</v>
      </c>
      <c r="I59" s="205">
        <v>2</v>
      </c>
    </row>
    <row r="60" spans="1:9" ht="85.5" customHeight="1" thickBot="1" x14ac:dyDescent="0.3">
      <c r="A60" s="428"/>
      <c r="B60" s="440"/>
      <c r="C60" s="470"/>
      <c r="D60" s="479"/>
      <c r="E60" s="483"/>
      <c r="F60" s="495"/>
      <c r="G60" s="243">
        <f t="shared" ref="G60" si="71">G59*$F59/$E59</f>
        <v>1.51</v>
      </c>
      <c r="H60" s="243">
        <f t="shared" ref="H60" si="72">H59*$F59/$E59</f>
        <v>0.75</v>
      </c>
      <c r="I60" s="243">
        <f t="shared" ref="I60" si="73">I59*$F59/$E59</f>
        <v>0.75</v>
      </c>
    </row>
    <row r="61" spans="1:9" x14ac:dyDescent="0.25">
      <c r="A61" s="427">
        <v>29</v>
      </c>
      <c r="B61" s="431" t="s">
        <v>388</v>
      </c>
      <c r="C61" s="469" t="s">
        <v>345</v>
      </c>
      <c r="D61" s="478">
        <v>295951</v>
      </c>
      <c r="E61" s="482">
        <v>20</v>
      </c>
      <c r="F61" s="494">
        <v>9.9</v>
      </c>
      <c r="G61" s="249">
        <v>0</v>
      </c>
      <c r="H61" s="249">
        <v>2</v>
      </c>
      <c r="I61" s="249">
        <v>2</v>
      </c>
    </row>
    <row r="62" spans="1:9" ht="141" customHeight="1" thickBot="1" x14ac:dyDescent="0.3">
      <c r="A62" s="428"/>
      <c r="B62" s="432"/>
      <c r="C62" s="470"/>
      <c r="D62" s="479"/>
      <c r="E62" s="483"/>
      <c r="F62" s="495"/>
      <c r="G62" s="243">
        <f t="shared" ref="G62" si="74">G61*$F61/$E61</f>
        <v>0</v>
      </c>
      <c r="H62" s="243">
        <f t="shared" ref="H62" si="75">H61*$F61/$E61</f>
        <v>0.99</v>
      </c>
      <c r="I62" s="243">
        <f t="shared" ref="I62" si="76">I61*$F61/$E61</f>
        <v>0.99</v>
      </c>
    </row>
    <row r="63" spans="1:9" x14ac:dyDescent="0.25">
      <c r="A63" s="433">
        <v>30</v>
      </c>
      <c r="B63" s="407" t="s">
        <v>430</v>
      </c>
      <c r="C63" s="469" t="s">
        <v>345</v>
      </c>
      <c r="D63" s="496">
        <v>324614</v>
      </c>
      <c r="E63" s="486">
        <v>80</v>
      </c>
      <c r="F63" s="494">
        <v>33.03</v>
      </c>
      <c r="G63" s="250">
        <v>38</v>
      </c>
      <c r="H63" s="250"/>
      <c r="I63" s="263">
        <v>20</v>
      </c>
    </row>
    <row r="64" spans="1:9" ht="15.75" thickBot="1" x14ac:dyDescent="0.3">
      <c r="A64" s="434"/>
      <c r="B64" s="408"/>
      <c r="C64" s="470"/>
      <c r="D64" s="497"/>
      <c r="E64" s="487"/>
      <c r="F64" s="495"/>
      <c r="G64" s="243">
        <f t="shared" ref="G64:I64" si="77">G63*$F63/$E63</f>
        <v>15.69</v>
      </c>
      <c r="H64" s="243">
        <f t="shared" si="77"/>
        <v>0</v>
      </c>
      <c r="I64" s="243">
        <f t="shared" si="77"/>
        <v>8.26</v>
      </c>
    </row>
    <row r="65" spans="1:9" x14ac:dyDescent="0.25">
      <c r="A65" s="435">
        <v>31</v>
      </c>
      <c r="B65" s="407" t="s">
        <v>431</v>
      </c>
      <c r="C65" s="471" t="s">
        <v>345</v>
      </c>
      <c r="D65" s="401">
        <v>443329</v>
      </c>
      <c r="E65" s="403">
        <v>80</v>
      </c>
      <c r="F65" s="405">
        <v>94.32</v>
      </c>
      <c r="G65" s="251"/>
      <c r="H65" s="251">
        <v>14</v>
      </c>
      <c r="I65" s="252"/>
    </row>
    <row r="66" spans="1:9" ht="15.75" thickBot="1" x14ac:dyDescent="0.3">
      <c r="A66" s="436"/>
      <c r="B66" s="408"/>
      <c r="C66" s="472"/>
      <c r="D66" s="402"/>
      <c r="E66" s="404"/>
      <c r="F66" s="406"/>
      <c r="G66" s="208">
        <f t="shared" ref="G66:I66" si="78">G65*$F65/$E65</f>
        <v>0</v>
      </c>
      <c r="H66" s="208">
        <f t="shared" si="78"/>
        <v>16.510000000000002</v>
      </c>
      <c r="I66" s="208">
        <f t="shared" si="78"/>
        <v>0</v>
      </c>
    </row>
    <row r="67" spans="1:9" x14ac:dyDescent="0.25">
      <c r="A67" s="427">
        <v>32</v>
      </c>
      <c r="B67" s="431" t="s">
        <v>390</v>
      </c>
      <c r="C67" s="469" t="s">
        <v>345</v>
      </c>
      <c r="D67" s="478">
        <v>245629</v>
      </c>
      <c r="E67" s="482">
        <v>20</v>
      </c>
      <c r="F67" s="494">
        <v>13.7</v>
      </c>
      <c r="G67" s="249">
        <v>0</v>
      </c>
      <c r="H67" s="249">
        <v>1</v>
      </c>
      <c r="I67" s="249">
        <v>0</v>
      </c>
    </row>
    <row r="68" spans="1:9" ht="81.75" customHeight="1" thickBot="1" x14ac:dyDescent="0.3">
      <c r="A68" s="428"/>
      <c r="B68" s="432"/>
      <c r="C68" s="470"/>
      <c r="D68" s="479"/>
      <c r="E68" s="483"/>
      <c r="F68" s="495"/>
      <c r="G68" s="243">
        <f t="shared" ref="G68" si="79">G67*$F67/$E67</f>
        <v>0</v>
      </c>
      <c r="H68" s="243">
        <f t="shared" ref="H68" si="80">H67*$F67/$E67</f>
        <v>0.69</v>
      </c>
      <c r="I68" s="243">
        <f t="shared" ref="I68" si="81">I67*$F67/$E67</f>
        <v>0</v>
      </c>
    </row>
    <row r="69" spans="1:9" x14ac:dyDescent="0.25">
      <c r="A69" s="421">
        <v>33</v>
      </c>
      <c r="B69" s="423" t="s">
        <v>389</v>
      </c>
      <c r="C69" s="471" t="s">
        <v>345</v>
      </c>
      <c r="D69" s="480">
        <v>337490</v>
      </c>
      <c r="E69" s="484">
        <v>36</v>
      </c>
      <c r="F69" s="405">
        <v>74.52</v>
      </c>
      <c r="G69" s="246">
        <v>2</v>
      </c>
      <c r="H69" s="246">
        <v>2</v>
      </c>
      <c r="I69" s="246">
        <v>0</v>
      </c>
    </row>
    <row r="70" spans="1:9" ht="93" customHeight="1" thickBot="1" x14ac:dyDescent="0.3">
      <c r="A70" s="422"/>
      <c r="B70" s="424"/>
      <c r="C70" s="472"/>
      <c r="D70" s="481"/>
      <c r="E70" s="485"/>
      <c r="F70" s="406"/>
      <c r="G70" s="208">
        <f t="shared" ref="G70" si="82">G69*$F69/$E69</f>
        <v>4.1399999999999997</v>
      </c>
      <c r="H70" s="208">
        <f t="shared" ref="H70" si="83">H69*$F69/$E69</f>
        <v>4.1399999999999997</v>
      </c>
      <c r="I70" s="208">
        <f t="shared" ref="I70" si="84">I69*$F69/$E69</f>
        <v>0</v>
      </c>
    </row>
    <row r="71" spans="1:9" x14ac:dyDescent="0.25">
      <c r="A71" s="427">
        <v>34</v>
      </c>
      <c r="B71" s="425" t="s">
        <v>392</v>
      </c>
      <c r="C71" s="469" t="s">
        <v>345</v>
      </c>
      <c r="D71" s="478">
        <v>407481</v>
      </c>
      <c r="E71" s="482">
        <v>120</v>
      </c>
      <c r="F71" s="494">
        <v>227</v>
      </c>
      <c r="G71" s="205">
        <v>1</v>
      </c>
      <c r="H71" s="205">
        <v>1</v>
      </c>
      <c r="I71" s="205">
        <v>1</v>
      </c>
    </row>
    <row r="72" spans="1:9" ht="91.5" customHeight="1" thickBot="1" x14ac:dyDescent="0.3">
      <c r="A72" s="428"/>
      <c r="B72" s="426"/>
      <c r="C72" s="470"/>
      <c r="D72" s="479"/>
      <c r="E72" s="483"/>
      <c r="F72" s="495"/>
      <c r="G72" s="243">
        <f t="shared" ref="G72" si="85">G71*$F71/$E71</f>
        <v>1.89</v>
      </c>
      <c r="H72" s="243">
        <f t="shared" ref="H72" si="86">H71*$F71/$E71</f>
        <v>1.89</v>
      </c>
      <c r="I72" s="243">
        <f t="shared" ref="I72" si="87">I71*$F71/$E71</f>
        <v>1.89</v>
      </c>
    </row>
    <row r="73" spans="1:9" x14ac:dyDescent="0.25">
      <c r="A73" s="421">
        <v>35</v>
      </c>
      <c r="B73" s="429" t="s">
        <v>393</v>
      </c>
      <c r="C73" s="471" t="s">
        <v>345</v>
      </c>
      <c r="D73" s="480">
        <v>303150</v>
      </c>
      <c r="E73" s="492">
        <v>60</v>
      </c>
      <c r="F73" s="405">
        <v>3.08</v>
      </c>
      <c r="G73" s="246">
        <v>10</v>
      </c>
      <c r="H73" s="246">
        <v>14</v>
      </c>
      <c r="I73" s="246">
        <v>10</v>
      </c>
    </row>
    <row r="74" spans="1:9" ht="97.5" customHeight="1" thickBot="1" x14ac:dyDescent="0.3">
      <c r="A74" s="422"/>
      <c r="B74" s="430"/>
      <c r="C74" s="472"/>
      <c r="D74" s="481"/>
      <c r="E74" s="493"/>
      <c r="F74" s="406"/>
      <c r="G74" s="208">
        <f t="shared" ref="G74" si="88">G73*$F73/$E73</f>
        <v>0.51</v>
      </c>
      <c r="H74" s="208">
        <f t="shared" ref="H74" si="89">H73*$F73/$E73</f>
        <v>0.72</v>
      </c>
      <c r="I74" s="208">
        <f t="shared" ref="I74" si="90">I73*$F73/$E73</f>
        <v>0.51</v>
      </c>
    </row>
    <row r="75" spans="1:9" x14ac:dyDescent="0.25">
      <c r="A75" s="417">
        <v>36</v>
      </c>
      <c r="B75" s="419" t="s">
        <v>320</v>
      </c>
      <c r="C75" s="474" t="s">
        <v>345</v>
      </c>
      <c r="D75" s="474">
        <v>449916</v>
      </c>
      <c r="E75" s="490">
        <v>120</v>
      </c>
      <c r="F75" s="494">
        <v>1967.16</v>
      </c>
      <c r="G75" s="205">
        <v>0</v>
      </c>
      <c r="H75" s="247">
        <v>1</v>
      </c>
      <c r="I75" s="247">
        <v>1</v>
      </c>
    </row>
    <row r="76" spans="1:9" ht="15.75" thickBot="1" x14ac:dyDescent="0.3">
      <c r="A76" s="418"/>
      <c r="B76" s="420"/>
      <c r="C76" s="475"/>
      <c r="D76" s="475"/>
      <c r="E76" s="491"/>
      <c r="F76" s="495"/>
      <c r="G76" s="243">
        <f t="shared" ref="G76" si="91">G75*$F75/$E75</f>
        <v>0</v>
      </c>
      <c r="H76" s="243">
        <f t="shared" ref="H76" si="92">H75*$F75/$E75</f>
        <v>16.39</v>
      </c>
      <c r="I76" s="243">
        <f t="shared" ref="I76" si="93">I75*$F75/$E75</f>
        <v>16.39</v>
      </c>
    </row>
    <row r="77" spans="1:9" x14ac:dyDescent="0.25">
      <c r="A77" s="417">
        <v>37</v>
      </c>
      <c r="B77" s="419" t="s">
        <v>321</v>
      </c>
      <c r="C77" s="474" t="s">
        <v>345</v>
      </c>
      <c r="D77" s="474">
        <v>468666</v>
      </c>
      <c r="E77" s="490">
        <v>120</v>
      </c>
      <c r="F77" s="494">
        <v>1484.01</v>
      </c>
      <c r="G77" s="205">
        <v>0</v>
      </c>
      <c r="H77" s="247">
        <v>1</v>
      </c>
      <c r="I77" s="247">
        <v>1</v>
      </c>
    </row>
    <row r="78" spans="1:9" ht="15.75" thickBot="1" x14ac:dyDescent="0.3">
      <c r="A78" s="418"/>
      <c r="B78" s="420"/>
      <c r="C78" s="475"/>
      <c r="D78" s="475"/>
      <c r="E78" s="491"/>
      <c r="F78" s="495"/>
      <c r="G78" s="243">
        <f t="shared" ref="G78" si="94">G77*$F77/$E77</f>
        <v>0</v>
      </c>
      <c r="H78" s="243">
        <f t="shared" ref="H78" si="95">H77*$F77/$E77</f>
        <v>12.37</v>
      </c>
      <c r="I78" s="243">
        <f t="shared" ref="I78" si="96">I77*$F77/$E77</f>
        <v>12.37</v>
      </c>
    </row>
    <row r="79" spans="1:9" x14ac:dyDescent="0.25">
      <c r="A79" s="409">
        <v>38</v>
      </c>
      <c r="B79" s="411" t="s">
        <v>322</v>
      </c>
      <c r="C79" s="476" t="s">
        <v>345</v>
      </c>
      <c r="D79" s="476">
        <v>453350</v>
      </c>
      <c r="E79" s="488">
        <v>120</v>
      </c>
      <c r="F79" s="405">
        <v>1832.89</v>
      </c>
      <c r="G79" s="246">
        <v>0</v>
      </c>
      <c r="H79" s="248">
        <v>1</v>
      </c>
      <c r="I79" s="248">
        <v>1</v>
      </c>
    </row>
    <row r="80" spans="1:9" ht="15.75" thickBot="1" x14ac:dyDescent="0.3">
      <c r="A80" s="410"/>
      <c r="B80" s="412"/>
      <c r="C80" s="477"/>
      <c r="D80" s="477"/>
      <c r="E80" s="489"/>
      <c r="F80" s="406"/>
      <c r="G80" s="208">
        <f t="shared" ref="G80" si="97">G79*$F79/$E79</f>
        <v>0</v>
      </c>
      <c r="H80" s="208">
        <f t="shared" ref="H80" si="98">H79*$F79/$E79</f>
        <v>15.27</v>
      </c>
      <c r="I80" s="208">
        <f t="shared" ref="I80" si="99">I79*$F79/$E79</f>
        <v>15.27</v>
      </c>
    </row>
    <row r="81" spans="1:9" x14ac:dyDescent="0.25">
      <c r="A81" s="427">
        <v>39</v>
      </c>
      <c r="B81" s="439" t="s">
        <v>394</v>
      </c>
      <c r="C81" s="469" t="s">
        <v>345</v>
      </c>
      <c r="D81" s="478">
        <v>246966</v>
      </c>
      <c r="E81" s="482">
        <v>120</v>
      </c>
      <c r="F81" s="494">
        <v>41.67</v>
      </c>
      <c r="G81" s="205">
        <v>0</v>
      </c>
      <c r="H81" s="247">
        <v>2</v>
      </c>
      <c r="I81" s="247">
        <v>2</v>
      </c>
    </row>
    <row r="82" spans="1:9" ht="132" customHeight="1" thickBot="1" x14ac:dyDescent="0.3">
      <c r="A82" s="458"/>
      <c r="B82" s="457"/>
      <c r="C82" s="470"/>
      <c r="D82" s="479"/>
      <c r="E82" s="483"/>
      <c r="F82" s="495"/>
      <c r="G82" s="243">
        <f t="shared" ref="G82" si="100">G81*$F81/$E81</f>
        <v>0</v>
      </c>
      <c r="H82" s="243">
        <f t="shared" ref="H82" si="101">H81*$F81/$E81</f>
        <v>0.69</v>
      </c>
      <c r="I82" s="243">
        <f t="shared" ref="I82" si="102">I81*$F81/$E81</f>
        <v>0.69</v>
      </c>
    </row>
    <row r="83" spans="1:9" ht="50.25" customHeight="1" x14ac:dyDescent="0.25">
      <c r="A83" s="421">
        <v>40</v>
      </c>
      <c r="B83" s="445" t="s">
        <v>395</v>
      </c>
      <c r="C83" s="471" t="s">
        <v>345</v>
      </c>
      <c r="D83" s="480">
        <v>231772</v>
      </c>
      <c r="E83" s="484">
        <v>120</v>
      </c>
      <c r="F83" s="405">
        <v>28.91</v>
      </c>
      <c r="G83" s="246">
        <v>0</v>
      </c>
      <c r="H83" s="248">
        <v>1</v>
      </c>
      <c r="I83" s="248">
        <v>0</v>
      </c>
    </row>
    <row r="84" spans="1:9" ht="50.25" customHeight="1" thickBot="1" x14ac:dyDescent="0.3">
      <c r="A84" s="455"/>
      <c r="B84" s="456"/>
      <c r="C84" s="472"/>
      <c r="D84" s="481"/>
      <c r="E84" s="485"/>
      <c r="F84" s="406"/>
      <c r="G84" s="208">
        <f t="shared" ref="G84" si="103">G83*$F83/$E83</f>
        <v>0</v>
      </c>
      <c r="H84" s="208">
        <f t="shared" ref="H84" si="104">H83*$F83/$E83</f>
        <v>0.24</v>
      </c>
      <c r="I84" s="208">
        <f t="shared" ref="I84" si="105">I83*$F83/$E83</f>
        <v>0</v>
      </c>
    </row>
    <row r="85" spans="1:9" x14ac:dyDescent="0.25">
      <c r="A85" s="427">
        <v>41</v>
      </c>
      <c r="B85" s="443" t="s">
        <v>396</v>
      </c>
      <c r="C85" s="469" t="s">
        <v>345</v>
      </c>
      <c r="D85" s="478">
        <v>452487</v>
      </c>
      <c r="E85" s="482">
        <v>60</v>
      </c>
      <c r="F85" s="494">
        <v>27.16</v>
      </c>
      <c r="G85" s="205">
        <v>0</v>
      </c>
      <c r="H85" s="247">
        <v>2</v>
      </c>
      <c r="I85" s="247">
        <v>2</v>
      </c>
    </row>
    <row r="86" spans="1:9" ht="97.5" customHeight="1" thickBot="1" x14ac:dyDescent="0.3">
      <c r="A86" s="458"/>
      <c r="B86" s="473"/>
      <c r="C86" s="470"/>
      <c r="D86" s="479"/>
      <c r="E86" s="483"/>
      <c r="F86" s="495"/>
      <c r="G86" s="243">
        <f t="shared" ref="G86" si="106">G85*$F85/$E85</f>
        <v>0</v>
      </c>
      <c r="H86" s="243">
        <f t="shared" ref="H86" si="107">H85*$F85/$E85</f>
        <v>0.91</v>
      </c>
      <c r="I86" s="243">
        <f t="shared" ref="I86" si="108">I85*$F85/$E85</f>
        <v>0.91</v>
      </c>
    </row>
    <row r="87" spans="1:9" x14ac:dyDescent="0.25">
      <c r="A87" s="421">
        <v>42</v>
      </c>
      <c r="B87" s="445" t="s">
        <v>397</v>
      </c>
      <c r="C87" s="471" t="s">
        <v>345</v>
      </c>
      <c r="D87" s="480">
        <v>450643</v>
      </c>
      <c r="E87" s="484">
        <v>36</v>
      </c>
      <c r="F87" s="405">
        <v>19.71</v>
      </c>
      <c r="G87" s="246">
        <v>0</v>
      </c>
      <c r="H87" s="248">
        <v>3</v>
      </c>
      <c r="I87" s="248">
        <v>3</v>
      </c>
    </row>
    <row r="88" spans="1:9" ht="64.5" customHeight="1" thickBot="1" x14ac:dyDescent="0.3">
      <c r="A88" s="455"/>
      <c r="B88" s="456"/>
      <c r="C88" s="472"/>
      <c r="D88" s="481"/>
      <c r="E88" s="485"/>
      <c r="F88" s="406"/>
      <c r="G88" s="208">
        <f t="shared" ref="G88" si="109">G87*$F87/$E87</f>
        <v>0</v>
      </c>
      <c r="H88" s="208">
        <f t="shared" ref="H88" si="110">H87*$F87/$E87</f>
        <v>1.64</v>
      </c>
      <c r="I88" s="208">
        <f t="shared" ref="I88" si="111">I87*$F87/$E87</f>
        <v>1.64</v>
      </c>
    </row>
    <row r="89" spans="1:9" x14ac:dyDescent="0.25">
      <c r="A89" s="427">
        <v>43</v>
      </c>
      <c r="B89" s="443" t="s">
        <v>398</v>
      </c>
      <c r="C89" s="469" t="s">
        <v>345</v>
      </c>
      <c r="D89" s="478">
        <v>468637</v>
      </c>
      <c r="E89" s="482">
        <v>60</v>
      </c>
      <c r="F89" s="494">
        <v>28.67</v>
      </c>
      <c r="G89" s="205">
        <v>0</v>
      </c>
      <c r="H89" s="247">
        <v>0</v>
      </c>
      <c r="I89" s="247">
        <v>0</v>
      </c>
    </row>
    <row r="90" spans="1:9" ht="72.75" customHeight="1" thickBot="1" x14ac:dyDescent="0.3">
      <c r="A90" s="458"/>
      <c r="B90" s="473"/>
      <c r="C90" s="470"/>
      <c r="D90" s="479"/>
      <c r="E90" s="483"/>
      <c r="F90" s="495"/>
      <c r="G90" s="243">
        <f t="shared" ref="G90" si="112">G89*$F89/$E89</f>
        <v>0</v>
      </c>
      <c r="H90" s="243">
        <f t="shared" ref="H90" si="113">H89*$F89/$E89</f>
        <v>0</v>
      </c>
      <c r="I90" s="243">
        <f t="shared" ref="I90" si="114">I89*$F89/$E89</f>
        <v>0</v>
      </c>
    </row>
    <row r="91" spans="1:9" x14ac:dyDescent="0.25">
      <c r="A91" s="421">
        <v>44</v>
      </c>
      <c r="B91" s="445" t="s">
        <v>399</v>
      </c>
      <c r="C91" s="471" t="s">
        <v>345</v>
      </c>
      <c r="D91" s="480">
        <v>239391</v>
      </c>
      <c r="E91" s="484">
        <v>120</v>
      </c>
      <c r="F91" s="405">
        <v>36.9</v>
      </c>
      <c r="G91" s="246">
        <v>0</v>
      </c>
      <c r="H91" s="248">
        <v>1</v>
      </c>
      <c r="I91" s="248">
        <v>1</v>
      </c>
    </row>
    <row r="92" spans="1:9" ht="65.25" customHeight="1" thickBot="1" x14ac:dyDescent="0.3">
      <c r="A92" s="455"/>
      <c r="B92" s="456"/>
      <c r="C92" s="472"/>
      <c r="D92" s="481"/>
      <c r="E92" s="485"/>
      <c r="F92" s="406"/>
      <c r="G92" s="208">
        <f t="shared" ref="G92" si="115">G91*$F91/$E91</f>
        <v>0</v>
      </c>
      <c r="H92" s="208">
        <f t="shared" ref="H92" si="116">H91*$F91/$E91</f>
        <v>0.31</v>
      </c>
      <c r="I92" s="208">
        <f t="shared" ref="I92" si="117">I91*$F91/$E91</f>
        <v>0.31</v>
      </c>
    </row>
    <row r="93" spans="1:9" x14ac:dyDescent="0.25">
      <c r="A93" s="427">
        <v>45</v>
      </c>
      <c r="B93" s="443" t="s">
        <v>412</v>
      </c>
      <c r="C93" s="469" t="s">
        <v>345</v>
      </c>
      <c r="D93" s="478">
        <v>71145</v>
      </c>
      <c r="E93" s="482">
        <v>80</v>
      </c>
      <c r="F93" s="494">
        <v>52.41</v>
      </c>
      <c r="G93" s="245"/>
      <c r="H93" s="245"/>
      <c r="I93" s="245"/>
    </row>
    <row r="94" spans="1:9" ht="15.75" thickBot="1" x14ac:dyDescent="0.3">
      <c r="A94" s="428"/>
      <c r="B94" s="444"/>
      <c r="C94" s="470"/>
      <c r="D94" s="479"/>
      <c r="E94" s="483"/>
      <c r="F94" s="495"/>
      <c r="G94" s="243"/>
      <c r="H94" s="243"/>
      <c r="I94" s="243"/>
    </row>
    <row r="95" spans="1:9" x14ac:dyDescent="0.25">
      <c r="A95" s="506">
        <v>46</v>
      </c>
      <c r="B95" s="508" t="s">
        <v>413</v>
      </c>
      <c r="C95" s="471" t="s">
        <v>345</v>
      </c>
      <c r="D95" s="480">
        <v>437878</v>
      </c>
      <c r="E95" s="484">
        <v>12</v>
      </c>
      <c r="F95" s="405">
        <v>124</v>
      </c>
      <c r="G95" s="244"/>
      <c r="H95" s="244"/>
      <c r="I95" s="244"/>
    </row>
    <row r="96" spans="1:9" ht="26.25" customHeight="1" thickBot="1" x14ac:dyDescent="0.3">
      <c r="A96" s="506"/>
      <c r="B96" s="509"/>
      <c r="C96" s="472"/>
      <c r="D96" s="481"/>
      <c r="E96" s="485"/>
      <c r="F96" s="406"/>
      <c r="G96" s="208"/>
      <c r="H96" s="208"/>
      <c r="I96" s="208"/>
    </row>
    <row r="97" spans="1:9" x14ac:dyDescent="0.25">
      <c r="A97" s="427">
        <v>47</v>
      </c>
      <c r="B97" s="443" t="s">
        <v>414</v>
      </c>
      <c r="C97" s="469" t="s">
        <v>345</v>
      </c>
      <c r="D97" s="478">
        <v>376174</v>
      </c>
      <c r="E97" s="482">
        <v>12</v>
      </c>
      <c r="F97" s="494">
        <v>32.96</v>
      </c>
      <c r="G97" s="245"/>
      <c r="H97" s="245"/>
      <c r="I97" s="245"/>
    </row>
    <row r="98" spans="1:9" ht="30.75" customHeight="1" thickBot="1" x14ac:dyDescent="0.3">
      <c r="A98" s="428"/>
      <c r="B98" s="444"/>
      <c r="C98" s="470"/>
      <c r="D98" s="479"/>
      <c r="E98" s="483"/>
      <c r="F98" s="495"/>
      <c r="G98" s="243"/>
      <c r="H98" s="243"/>
      <c r="I98" s="243"/>
    </row>
    <row r="99" spans="1:9" x14ac:dyDescent="0.25">
      <c r="A99" s="506">
        <v>48</v>
      </c>
      <c r="B99" s="507" t="s">
        <v>415</v>
      </c>
      <c r="C99" s="471" t="s">
        <v>345</v>
      </c>
      <c r="D99" s="480">
        <v>335113</v>
      </c>
      <c r="E99" s="484">
        <v>80</v>
      </c>
      <c r="F99" s="405">
        <v>85.43</v>
      </c>
      <c r="G99" s="244"/>
      <c r="H99" s="244"/>
      <c r="I99" s="244"/>
    </row>
    <row r="100" spans="1:9" ht="15.75" thickBot="1" x14ac:dyDescent="0.3">
      <c r="A100" s="506"/>
      <c r="B100" s="507"/>
      <c r="C100" s="472"/>
      <c r="D100" s="481"/>
      <c r="E100" s="485"/>
      <c r="F100" s="406"/>
      <c r="G100" s="208"/>
      <c r="H100" s="208"/>
      <c r="I100" s="208"/>
    </row>
    <row r="101" spans="1:9" x14ac:dyDescent="0.25">
      <c r="A101" s="427">
        <v>49</v>
      </c>
      <c r="B101" s="443" t="s">
        <v>416</v>
      </c>
      <c r="C101" s="469" t="s">
        <v>345</v>
      </c>
      <c r="D101" s="478">
        <v>240322</v>
      </c>
      <c r="E101" s="482">
        <v>120</v>
      </c>
      <c r="F101" s="494">
        <v>12.18</v>
      </c>
      <c r="G101" s="245"/>
      <c r="H101" s="245"/>
      <c r="I101" s="245"/>
    </row>
    <row r="102" spans="1:9" ht="15.75" thickBot="1" x14ac:dyDescent="0.3">
      <c r="A102" s="428"/>
      <c r="B102" s="444"/>
      <c r="C102" s="470"/>
      <c r="D102" s="479"/>
      <c r="E102" s="483"/>
      <c r="F102" s="495"/>
      <c r="G102" s="243"/>
      <c r="H102" s="243"/>
      <c r="I102" s="243"/>
    </row>
    <row r="103" spans="1:9" x14ac:dyDescent="0.25">
      <c r="A103" s="427">
        <v>50</v>
      </c>
      <c r="B103" s="425" t="s">
        <v>417</v>
      </c>
      <c r="C103" s="469" t="s">
        <v>345</v>
      </c>
      <c r="D103" s="478">
        <v>373903</v>
      </c>
      <c r="E103" s="482">
        <v>24</v>
      </c>
      <c r="F103" s="494">
        <v>9.1300000000000008</v>
      </c>
      <c r="G103" s="245"/>
      <c r="H103" s="245"/>
      <c r="I103" s="245"/>
    </row>
    <row r="104" spans="1:9" ht="15.75" thickBot="1" x14ac:dyDescent="0.3">
      <c r="A104" s="428"/>
      <c r="B104" s="426"/>
      <c r="C104" s="470"/>
      <c r="D104" s="479"/>
      <c r="E104" s="483"/>
      <c r="F104" s="495"/>
      <c r="G104" s="208"/>
      <c r="H104" s="208"/>
      <c r="I104" s="208"/>
    </row>
    <row r="105" spans="1:9" x14ac:dyDescent="0.25">
      <c r="A105" s="427">
        <v>51</v>
      </c>
      <c r="B105" s="425" t="s">
        <v>418</v>
      </c>
      <c r="C105" s="469" t="s">
        <v>346</v>
      </c>
      <c r="D105" s="478">
        <v>251235</v>
      </c>
      <c r="E105" s="482">
        <v>80</v>
      </c>
      <c r="F105" s="494">
        <v>32.83</v>
      </c>
      <c r="G105" s="245"/>
      <c r="H105" s="245"/>
      <c r="I105" s="245"/>
    </row>
    <row r="106" spans="1:9" ht="15.75" thickBot="1" x14ac:dyDescent="0.3">
      <c r="A106" s="428"/>
      <c r="B106" s="426"/>
      <c r="C106" s="470"/>
      <c r="D106" s="479"/>
      <c r="E106" s="483"/>
      <c r="F106" s="495"/>
      <c r="G106" s="208"/>
      <c r="H106" s="208"/>
      <c r="I106" s="208"/>
    </row>
    <row r="107" spans="1:9" x14ac:dyDescent="0.25">
      <c r="A107" s="427">
        <v>52</v>
      </c>
      <c r="B107" s="425" t="s">
        <v>419</v>
      </c>
      <c r="C107" s="469" t="s">
        <v>345</v>
      </c>
      <c r="D107" s="478" t="s">
        <v>426</v>
      </c>
      <c r="E107" s="482">
        <v>80</v>
      </c>
      <c r="F107" s="494">
        <v>912.89</v>
      </c>
      <c r="G107" s="245"/>
      <c r="H107" s="245"/>
      <c r="I107" s="245"/>
    </row>
    <row r="108" spans="1:9" ht="24.75" customHeight="1" thickBot="1" x14ac:dyDescent="0.3">
      <c r="A108" s="428"/>
      <c r="B108" s="426"/>
      <c r="C108" s="470"/>
      <c r="D108" s="479"/>
      <c r="E108" s="483"/>
      <c r="F108" s="495"/>
      <c r="G108" s="208"/>
      <c r="H108" s="208"/>
      <c r="I108" s="208"/>
    </row>
    <row r="109" spans="1:9" ht="15.75" thickBot="1" x14ac:dyDescent="0.3">
      <c r="E109" s="377" t="s">
        <v>93</v>
      </c>
      <c r="F109" s="378"/>
      <c r="G109" s="207">
        <f t="shared" ref="G109:I109" si="118">G6+G8+G10+G12+G14+G16+G18+G20+G22+G24+G26+G28+G30+G32+G34+G36+G38+G40+G42+G44+G46+G48+G50+G52+G54+G56+G58+G60+G62+G64+G66+G68+G70+G72+G74+G76+G78+G80+G82+G84+G86+G88+G90+G92+G94+G96+G98+G100+G102+G104+G106+G108</f>
        <v>62.73</v>
      </c>
      <c r="H109" s="207">
        <f t="shared" si="118"/>
        <v>134.79</v>
      </c>
      <c r="I109" s="207">
        <f t="shared" si="118"/>
        <v>110.2</v>
      </c>
    </row>
    <row r="110" spans="1:9" ht="15.75" thickBot="1" x14ac:dyDescent="0.3">
      <c r="E110" s="379" t="s">
        <v>312</v>
      </c>
      <c r="F110" s="380"/>
      <c r="G110" s="196">
        <f>MATERIAIS!F108</f>
        <v>11</v>
      </c>
      <c r="H110" s="196">
        <f>MATERIAIS!G108</f>
        <v>1</v>
      </c>
      <c r="I110" s="196">
        <f>MATERIAIS!H108</f>
        <v>1</v>
      </c>
    </row>
    <row r="111" spans="1:9" ht="15.75" thickBot="1" x14ac:dyDescent="0.3">
      <c r="E111" s="373" t="s">
        <v>347</v>
      </c>
      <c r="F111" s="374"/>
      <c r="G111" s="198">
        <f t="shared" ref="G111:I111" si="119">G109/G110</f>
        <v>5.7</v>
      </c>
      <c r="H111" s="198">
        <f>H109/H110</f>
        <v>134.79</v>
      </c>
      <c r="I111" s="198">
        <f t="shared" si="119"/>
        <v>110.2</v>
      </c>
    </row>
  </sheetData>
  <protectedRanges>
    <protectedRange sqref="F43:F108 F5:F40" name="Intervalo1_1"/>
    <protectedRange sqref="F41:F42" name="Intervalo1_1_1"/>
  </protectedRanges>
  <mergeCells count="322">
    <mergeCell ref="A93:A94"/>
    <mergeCell ref="B93:B94"/>
    <mergeCell ref="C93:C94"/>
    <mergeCell ref="D93:D94"/>
    <mergeCell ref="E93:E94"/>
    <mergeCell ref="F93:F94"/>
    <mergeCell ref="A95:A96"/>
    <mergeCell ref="B95:B96"/>
    <mergeCell ref="C95:C96"/>
    <mergeCell ref="D95:D96"/>
    <mergeCell ref="E95:E96"/>
    <mergeCell ref="F95:F96"/>
    <mergeCell ref="A101:A102"/>
    <mergeCell ref="B101:B102"/>
    <mergeCell ref="C101:C102"/>
    <mergeCell ref="D101:D102"/>
    <mergeCell ref="E101:E102"/>
    <mergeCell ref="F101:F102"/>
    <mergeCell ref="A107:A108"/>
    <mergeCell ref="B107:B108"/>
    <mergeCell ref="C107:C108"/>
    <mergeCell ref="D107:D108"/>
    <mergeCell ref="E107:E108"/>
    <mergeCell ref="F107:F108"/>
    <mergeCell ref="A103:A104"/>
    <mergeCell ref="B103:B104"/>
    <mergeCell ref="C103:C104"/>
    <mergeCell ref="D103:D104"/>
    <mergeCell ref="E103:E104"/>
    <mergeCell ref="F103:F104"/>
    <mergeCell ref="A105:A106"/>
    <mergeCell ref="B105:B106"/>
    <mergeCell ref="C105:C106"/>
    <mergeCell ref="D105:D106"/>
    <mergeCell ref="E105:E106"/>
    <mergeCell ref="F105:F106"/>
    <mergeCell ref="A97:A98"/>
    <mergeCell ref="B97:B98"/>
    <mergeCell ref="C97:C98"/>
    <mergeCell ref="D97:D98"/>
    <mergeCell ref="E97:E98"/>
    <mergeCell ref="F97:F98"/>
    <mergeCell ref="A99:A100"/>
    <mergeCell ref="B99:B100"/>
    <mergeCell ref="C99:C100"/>
    <mergeCell ref="D99:D100"/>
    <mergeCell ref="E99:E100"/>
    <mergeCell ref="F99:F100"/>
    <mergeCell ref="A11:A12"/>
    <mergeCell ref="A3:A4"/>
    <mergeCell ref="G3:I3"/>
    <mergeCell ref="C3:C4"/>
    <mergeCell ref="D3:D4"/>
    <mergeCell ref="A5:A6"/>
    <mergeCell ref="B5:B6"/>
    <mergeCell ref="C5:C6"/>
    <mergeCell ref="D5:D6"/>
    <mergeCell ref="E5:E6"/>
    <mergeCell ref="B3:B4"/>
    <mergeCell ref="F3:F4"/>
    <mergeCell ref="E3:E4"/>
    <mergeCell ref="F5:F6"/>
    <mergeCell ref="A7:A8"/>
    <mergeCell ref="B7:B8"/>
    <mergeCell ref="C7:C8"/>
    <mergeCell ref="D7:D8"/>
    <mergeCell ref="E7:E8"/>
    <mergeCell ref="F7:F8"/>
    <mergeCell ref="F9:F10"/>
    <mergeCell ref="A9:A10"/>
    <mergeCell ref="B9:B10"/>
    <mergeCell ref="C9:C10"/>
    <mergeCell ref="F61:F62"/>
    <mergeCell ref="F63:F64"/>
    <mergeCell ref="F67:F68"/>
    <mergeCell ref="F41:F42"/>
    <mergeCell ref="F43:F44"/>
    <mergeCell ref="F45:F46"/>
    <mergeCell ref="F47:F48"/>
    <mergeCell ref="F25:F26"/>
    <mergeCell ref="F27:F28"/>
    <mergeCell ref="F29:F30"/>
    <mergeCell ref="F49:F50"/>
    <mergeCell ref="F51:F52"/>
    <mergeCell ref="F53:F54"/>
    <mergeCell ref="F55:F56"/>
    <mergeCell ref="F57:F58"/>
    <mergeCell ref="F59:F60"/>
    <mergeCell ref="F31:F32"/>
    <mergeCell ref="F33:F34"/>
    <mergeCell ref="F35:F36"/>
    <mergeCell ref="F37:F38"/>
    <mergeCell ref="F39:F40"/>
    <mergeCell ref="D9:D10"/>
    <mergeCell ref="E9:E10"/>
    <mergeCell ref="E13:E14"/>
    <mergeCell ref="D13:D14"/>
    <mergeCell ref="D15:D16"/>
    <mergeCell ref="D17:D18"/>
    <mergeCell ref="D19:D20"/>
    <mergeCell ref="D21:D22"/>
    <mergeCell ref="B11:B12"/>
    <mergeCell ref="C11:C12"/>
    <mergeCell ref="D11:D12"/>
    <mergeCell ref="E11:E12"/>
    <mergeCell ref="C13:C14"/>
    <mergeCell ref="C15:C16"/>
    <mergeCell ref="C17:C18"/>
    <mergeCell ref="C19:C20"/>
    <mergeCell ref="C21:C22"/>
    <mergeCell ref="E15:E16"/>
    <mergeCell ref="E17:E18"/>
    <mergeCell ref="E19:E20"/>
    <mergeCell ref="E21:E22"/>
    <mergeCell ref="D89:D90"/>
    <mergeCell ref="D91:D92"/>
    <mergeCell ref="D77:D78"/>
    <mergeCell ref="D79:D80"/>
    <mergeCell ref="D81:D82"/>
    <mergeCell ref="D83:D84"/>
    <mergeCell ref="D67:D68"/>
    <mergeCell ref="D69:D70"/>
    <mergeCell ref="D71:D72"/>
    <mergeCell ref="D73:D74"/>
    <mergeCell ref="D75:D76"/>
    <mergeCell ref="F11:F12"/>
    <mergeCell ref="F13:F14"/>
    <mergeCell ref="F15:F16"/>
    <mergeCell ref="F17:F18"/>
    <mergeCell ref="F19:F20"/>
    <mergeCell ref="F21:F22"/>
    <mergeCell ref="F23:F24"/>
    <mergeCell ref="D85:D86"/>
    <mergeCell ref="D87:D88"/>
    <mergeCell ref="D55:D56"/>
    <mergeCell ref="D57:D58"/>
    <mergeCell ref="D59:D60"/>
    <mergeCell ref="D61:D62"/>
    <mergeCell ref="D63:D64"/>
    <mergeCell ref="D43:D44"/>
    <mergeCell ref="D45:D46"/>
    <mergeCell ref="D47:D48"/>
    <mergeCell ref="D49:D50"/>
    <mergeCell ref="D51:D52"/>
    <mergeCell ref="D53:D54"/>
    <mergeCell ref="D39:D40"/>
    <mergeCell ref="D41:D42"/>
    <mergeCell ref="D23:D24"/>
    <mergeCell ref="D25:D26"/>
    <mergeCell ref="F91:F92"/>
    <mergeCell ref="F79:F80"/>
    <mergeCell ref="F81:F82"/>
    <mergeCell ref="F83:F84"/>
    <mergeCell ref="F69:F70"/>
    <mergeCell ref="F71:F72"/>
    <mergeCell ref="F73:F74"/>
    <mergeCell ref="F75:F76"/>
    <mergeCell ref="F77:F78"/>
    <mergeCell ref="F85:F86"/>
    <mergeCell ref="F87:F88"/>
    <mergeCell ref="F89:F90"/>
    <mergeCell ref="E81:E82"/>
    <mergeCell ref="E79:E80"/>
    <mergeCell ref="E77:E78"/>
    <mergeCell ref="E75:E76"/>
    <mergeCell ref="E73:E74"/>
    <mergeCell ref="E85:E86"/>
    <mergeCell ref="E83:E84"/>
    <mergeCell ref="E91:E92"/>
    <mergeCell ref="E89:E90"/>
    <mergeCell ref="E87:E88"/>
    <mergeCell ref="E59:E60"/>
    <mergeCell ref="E57:E58"/>
    <mergeCell ref="E55:E56"/>
    <mergeCell ref="E53:E54"/>
    <mergeCell ref="E51:E52"/>
    <mergeCell ref="E49:E50"/>
    <mergeCell ref="E71:E72"/>
    <mergeCell ref="E69:E70"/>
    <mergeCell ref="E67:E68"/>
    <mergeCell ref="E63:E64"/>
    <mergeCell ref="E61:E62"/>
    <mergeCell ref="C23:C24"/>
    <mergeCell ref="C25:C26"/>
    <mergeCell ref="E47:E48"/>
    <mergeCell ref="E45:E46"/>
    <mergeCell ref="E43:E44"/>
    <mergeCell ref="E41:E42"/>
    <mergeCell ref="E39:E40"/>
    <mergeCell ref="E27:E28"/>
    <mergeCell ref="E29:E30"/>
    <mergeCell ref="E31:E32"/>
    <mergeCell ref="E23:E24"/>
    <mergeCell ref="E25:E26"/>
    <mergeCell ref="D33:D34"/>
    <mergeCell ref="D27:D28"/>
    <mergeCell ref="D29:D30"/>
    <mergeCell ref="C27:C28"/>
    <mergeCell ref="C29:C30"/>
    <mergeCell ref="C31:C32"/>
    <mergeCell ref="C33:C34"/>
    <mergeCell ref="C35:C36"/>
    <mergeCell ref="E37:E38"/>
    <mergeCell ref="E35:E36"/>
    <mergeCell ref="E33:E34"/>
    <mergeCell ref="D35:D36"/>
    <mergeCell ref="D37:D38"/>
    <mergeCell ref="D31:D32"/>
    <mergeCell ref="C53:C54"/>
    <mergeCell ref="C55:C56"/>
    <mergeCell ref="C57:C58"/>
    <mergeCell ref="C59:C60"/>
    <mergeCell ref="C61:C62"/>
    <mergeCell ref="C37:C38"/>
    <mergeCell ref="C39:C40"/>
    <mergeCell ref="C45:C46"/>
    <mergeCell ref="C47:C48"/>
    <mergeCell ref="C49:C50"/>
    <mergeCell ref="C51:C52"/>
    <mergeCell ref="C77:C78"/>
    <mergeCell ref="C79:C80"/>
    <mergeCell ref="C81:C82"/>
    <mergeCell ref="C83:C84"/>
    <mergeCell ref="C63:C64"/>
    <mergeCell ref="C67:C68"/>
    <mergeCell ref="C69:C70"/>
    <mergeCell ref="C71:C72"/>
    <mergeCell ref="C73:C74"/>
    <mergeCell ref="C75:C76"/>
    <mergeCell ref="C65:C66"/>
    <mergeCell ref="A87:A88"/>
    <mergeCell ref="A85:A86"/>
    <mergeCell ref="C85:C86"/>
    <mergeCell ref="C87:C88"/>
    <mergeCell ref="C89:C90"/>
    <mergeCell ref="C91:C92"/>
    <mergeCell ref="B89:B90"/>
    <mergeCell ref="B91:B92"/>
    <mergeCell ref="A91:A92"/>
    <mergeCell ref="A89:A90"/>
    <mergeCell ref="B85:B86"/>
    <mergeCell ref="B87:B88"/>
    <mergeCell ref="A83:A84"/>
    <mergeCell ref="B83:B84"/>
    <mergeCell ref="B81:B82"/>
    <mergeCell ref="A81:A82"/>
    <mergeCell ref="A25:A26"/>
    <mergeCell ref="B25:B26"/>
    <mergeCell ref="A27:A28"/>
    <mergeCell ref="B27:B28"/>
    <mergeCell ref="A19:A20"/>
    <mergeCell ref="B19:B20"/>
    <mergeCell ref="B21:B22"/>
    <mergeCell ref="A21:A22"/>
    <mergeCell ref="B23:B24"/>
    <mergeCell ref="A23:A24"/>
    <mergeCell ref="B35:B36"/>
    <mergeCell ref="A35:A36"/>
    <mergeCell ref="A37:A38"/>
    <mergeCell ref="B37:B38"/>
    <mergeCell ref="A29:A30"/>
    <mergeCell ref="B29:B30"/>
    <mergeCell ref="B31:B32"/>
    <mergeCell ref="A31:A32"/>
    <mergeCell ref="A33:A34"/>
    <mergeCell ref="B33:B34"/>
    <mergeCell ref="A13:A14"/>
    <mergeCell ref="A15:A16"/>
    <mergeCell ref="B13:B14"/>
    <mergeCell ref="B15:B16"/>
    <mergeCell ref="B17:B18"/>
    <mergeCell ref="A17:A18"/>
    <mergeCell ref="B45:B46"/>
    <mergeCell ref="A45:A46"/>
    <mergeCell ref="A47:A48"/>
    <mergeCell ref="B47:B48"/>
    <mergeCell ref="A63:A64"/>
    <mergeCell ref="A67:A68"/>
    <mergeCell ref="A65:A66"/>
    <mergeCell ref="B67:B68"/>
    <mergeCell ref="A57:A58"/>
    <mergeCell ref="B49:B50"/>
    <mergeCell ref="A49:A50"/>
    <mergeCell ref="A39:A40"/>
    <mergeCell ref="B39:B40"/>
    <mergeCell ref="B41:B42"/>
    <mergeCell ref="A41:A42"/>
    <mergeCell ref="A43:A44"/>
    <mergeCell ref="B43:B44"/>
    <mergeCell ref="A59:A60"/>
    <mergeCell ref="B59:B60"/>
    <mergeCell ref="B51:B52"/>
    <mergeCell ref="A51:A52"/>
    <mergeCell ref="A53:A54"/>
    <mergeCell ref="B53:B54"/>
    <mergeCell ref="B55:B56"/>
    <mergeCell ref="A55:A56"/>
    <mergeCell ref="B57:B58"/>
    <mergeCell ref="D65:D66"/>
    <mergeCell ref="E65:E66"/>
    <mergeCell ref="F65:F66"/>
    <mergeCell ref="E110:F110"/>
    <mergeCell ref="E111:F111"/>
    <mergeCell ref="B65:B66"/>
    <mergeCell ref="A79:A80"/>
    <mergeCell ref="B79:B80"/>
    <mergeCell ref="C41:C42"/>
    <mergeCell ref="C43:C44"/>
    <mergeCell ref="E109:F109"/>
    <mergeCell ref="A75:A76"/>
    <mergeCell ref="B75:B76"/>
    <mergeCell ref="B77:B78"/>
    <mergeCell ref="A77:A78"/>
    <mergeCell ref="A69:A70"/>
    <mergeCell ref="B69:B70"/>
    <mergeCell ref="B71:B72"/>
    <mergeCell ref="A71:A72"/>
    <mergeCell ref="B73:B74"/>
    <mergeCell ref="A73:A74"/>
    <mergeCell ref="A61:A62"/>
    <mergeCell ref="B61:B62"/>
    <mergeCell ref="B63:B6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558D-3E06-4DB2-ABDB-11AD07A91558}">
  <dimension ref="B1:Q26"/>
  <sheetViews>
    <sheetView topLeftCell="A9" workbookViewId="0">
      <selection activeCell="D32" sqref="D32"/>
    </sheetView>
  </sheetViews>
  <sheetFormatPr defaultRowHeight="15" x14ac:dyDescent="0.25"/>
  <cols>
    <col min="2" max="2" width="10.42578125" bestFit="1" customWidth="1"/>
    <col min="3" max="3" width="12.28515625" bestFit="1" customWidth="1"/>
    <col min="4" max="4" width="15.28515625" customWidth="1"/>
    <col min="5" max="6" width="12.28515625" bestFit="1" customWidth="1"/>
    <col min="7" max="9" width="10.7109375" bestFit="1" customWidth="1"/>
    <col min="10" max="11" width="12.28515625" bestFit="1" customWidth="1"/>
    <col min="12" max="12" width="10.7109375" bestFit="1" customWidth="1"/>
    <col min="13" max="15" width="12.28515625" bestFit="1" customWidth="1"/>
    <col min="16" max="16" width="10.7109375" bestFit="1" customWidth="1"/>
    <col min="17" max="17" width="12.28515625" bestFit="1" customWidth="1"/>
  </cols>
  <sheetData>
    <row r="1" spans="2:17" hidden="1" x14ac:dyDescent="0.25">
      <c r="D1" s="214" t="s">
        <v>317</v>
      </c>
      <c r="E1" s="193" t="s">
        <v>257</v>
      </c>
      <c r="F1" s="193" t="s">
        <v>258</v>
      </c>
      <c r="G1" s="194" t="s">
        <v>259</v>
      </c>
      <c r="H1" s="194" t="s">
        <v>260</v>
      </c>
      <c r="I1" s="194" t="s">
        <v>261</v>
      </c>
      <c r="J1" s="194" t="s">
        <v>262</v>
      </c>
      <c r="K1" s="194" t="s">
        <v>263</v>
      </c>
      <c r="L1" s="194" t="s">
        <v>267</v>
      </c>
      <c r="M1" s="194" t="s">
        <v>264</v>
      </c>
      <c r="N1" s="194" t="s">
        <v>265</v>
      </c>
      <c r="O1" s="194" t="s">
        <v>266</v>
      </c>
      <c r="P1" s="194" t="s">
        <v>268</v>
      </c>
      <c r="Q1" s="215" t="s">
        <v>269</v>
      </c>
    </row>
    <row r="2" spans="2:17" ht="15.75" hidden="1" thickBot="1" x14ac:dyDescent="0.3">
      <c r="B2" s="377" t="s">
        <v>410</v>
      </c>
      <c r="C2" s="378"/>
      <c r="D2" s="216" t="e">
        <f>MATERIAIS!#REF!</f>
        <v>#REF!</v>
      </c>
      <c r="E2" s="216" t="e">
        <f>MATERIAIS!#REF!</f>
        <v>#REF!</v>
      </c>
      <c r="F2" s="216">
        <f>MATERIAIS!F107</f>
        <v>2434.3000000000002</v>
      </c>
      <c r="G2" s="216" t="e">
        <f>MATERIAIS!#REF!</f>
        <v>#REF!</v>
      </c>
      <c r="H2" s="216" t="e">
        <f>MATERIAIS!#REF!</f>
        <v>#REF!</v>
      </c>
      <c r="I2" s="216">
        <f>MATERIAIS!G107</f>
        <v>1669.51</v>
      </c>
      <c r="J2" s="216" t="e">
        <f>MATERIAIS!#REF!</f>
        <v>#REF!</v>
      </c>
      <c r="K2" s="216" t="e">
        <f>MATERIAIS!#REF!</f>
        <v>#REF!</v>
      </c>
      <c r="L2" s="216">
        <f>MATERIAIS!H107</f>
        <v>1889.18</v>
      </c>
      <c r="M2" s="216" t="e">
        <f>MATERIAIS!#REF!</f>
        <v>#REF!</v>
      </c>
      <c r="N2" s="216" t="e">
        <f>MATERIAIS!#REF!</f>
        <v>#REF!</v>
      </c>
      <c r="O2" s="216" t="e">
        <f>MATERIAIS!#REF!</f>
        <v>#REF!</v>
      </c>
      <c r="P2" s="216" t="e">
        <f>MATERIAIS!#REF!</f>
        <v>#REF!</v>
      </c>
      <c r="Q2" s="216" t="e">
        <f>MATERIAIS!#REF!</f>
        <v>#REF!</v>
      </c>
    </row>
    <row r="3" spans="2:17" ht="15.75" hidden="1" thickBot="1" x14ac:dyDescent="0.3">
      <c r="B3" s="377" t="s">
        <v>93</v>
      </c>
      <c r="C3" s="378"/>
      <c r="D3" s="207" t="e">
        <f>EQUIPAMENTOS!#REF!</f>
        <v>#REF!</v>
      </c>
      <c r="E3" s="207" t="e">
        <f>EQUIPAMENTOS!#REF!</f>
        <v>#REF!</v>
      </c>
      <c r="F3" s="207">
        <f>EQUIPAMENTOS!G109</f>
        <v>62.73</v>
      </c>
      <c r="G3" s="207" t="e">
        <f>EQUIPAMENTOS!#REF!</f>
        <v>#REF!</v>
      </c>
      <c r="H3" s="207" t="e">
        <f>EQUIPAMENTOS!#REF!</f>
        <v>#REF!</v>
      </c>
      <c r="I3" s="207">
        <f>EQUIPAMENTOS!H109</f>
        <v>134.79</v>
      </c>
      <c r="J3" s="207" t="e">
        <f>EQUIPAMENTOS!#REF!</f>
        <v>#REF!</v>
      </c>
      <c r="K3" s="207" t="e">
        <f>EQUIPAMENTOS!#REF!</f>
        <v>#REF!</v>
      </c>
      <c r="L3" s="207">
        <f>EQUIPAMENTOS!I109</f>
        <v>110.2</v>
      </c>
      <c r="M3" s="207" t="e">
        <f>EQUIPAMENTOS!#REF!</f>
        <v>#REF!</v>
      </c>
      <c r="N3" s="207" t="e">
        <f>EQUIPAMENTOS!#REF!</f>
        <v>#REF!</v>
      </c>
      <c r="O3" s="207" t="e">
        <f>EQUIPAMENTOS!#REF!</f>
        <v>#REF!</v>
      </c>
      <c r="P3" s="207" t="e">
        <f>EQUIPAMENTOS!#REF!</f>
        <v>#REF!</v>
      </c>
      <c r="Q3" s="207" t="e">
        <f>EQUIPAMENTOS!#REF!</f>
        <v>#REF!</v>
      </c>
    </row>
    <row r="4" spans="2:17" ht="15.75" hidden="1" thickBot="1" x14ac:dyDescent="0.3"/>
    <row r="5" spans="2:17" ht="15.75" hidden="1" thickBot="1" x14ac:dyDescent="0.3">
      <c r="B5" s="379" t="s">
        <v>312</v>
      </c>
      <c r="C5" s="380"/>
      <c r="D5" s="229" t="e">
        <f>MATERIAIS!#REF!</f>
        <v>#REF!</v>
      </c>
      <c r="E5" s="229" t="e">
        <f>MATERIAIS!#REF!</f>
        <v>#REF!</v>
      </c>
      <c r="F5" s="229">
        <f>MATERIAIS!F108</f>
        <v>11</v>
      </c>
      <c r="G5" s="229" t="e">
        <f>MATERIAIS!#REF!</f>
        <v>#REF!</v>
      </c>
      <c r="H5" s="229" t="e">
        <f>MATERIAIS!#REF!</f>
        <v>#REF!</v>
      </c>
      <c r="I5" s="229">
        <f>MATERIAIS!G108</f>
        <v>1</v>
      </c>
      <c r="J5" s="229" t="e">
        <f>MATERIAIS!#REF!</f>
        <v>#REF!</v>
      </c>
      <c r="K5" s="229" t="e">
        <f>MATERIAIS!#REF!</f>
        <v>#REF!</v>
      </c>
      <c r="L5" s="229">
        <f>MATERIAIS!H108</f>
        <v>1</v>
      </c>
      <c r="M5" s="229" t="e">
        <f>MATERIAIS!#REF!</f>
        <v>#REF!</v>
      </c>
      <c r="N5" s="229" t="e">
        <f>MATERIAIS!#REF!</f>
        <v>#REF!</v>
      </c>
      <c r="O5" s="229" t="e">
        <f>MATERIAIS!#REF!</f>
        <v>#REF!</v>
      </c>
      <c r="P5" s="229" t="e">
        <f>MATERIAIS!#REF!</f>
        <v>#REF!</v>
      </c>
      <c r="Q5" s="229" t="e">
        <f>MATERIAIS!#REF!</f>
        <v>#REF!</v>
      </c>
    </row>
    <row r="6" spans="2:17" ht="15.75" hidden="1" thickBot="1" x14ac:dyDescent="0.3">
      <c r="B6" s="373" t="s">
        <v>347</v>
      </c>
      <c r="C6" s="374"/>
      <c r="D6" s="216" t="e">
        <f>(D2+D3)/D5</f>
        <v>#REF!</v>
      </c>
      <c r="E6" s="216" t="e">
        <f t="shared" ref="E6:Q6" si="0">(E2+E3)/E5</f>
        <v>#REF!</v>
      </c>
      <c r="F6" s="216">
        <f t="shared" si="0"/>
        <v>227</v>
      </c>
      <c r="G6" s="216" t="e">
        <f t="shared" si="0"/>
        <v>#REF!</v>
      </c>
      <c r="H6" s="216" t="e">
        <f t="shared" si="0"/>
        <v>#REF!</v>
      </c>
      <c r="I6" s="216">
        <f t="shared" si="0"/>
        <v>1804.3</v>
      </c>
      <c r="J6" s="216" t="e">
        <f t="shared" si="0"/>
        <v>#REF!</v>
      </c>
      <c r="K6" s="216" t="e">
        <f t="shared" si="0"/>
        <v>#REF!</v>
      </c>
      <c r="L6" s="216">
        <f t="shared" si="0"/>
        <v>1999.38</v>
      </c>
      <c r="M6" s="216" t="e">
        <f t="shared" si="0"/>
        <v>#REF!</v>
      </c>
      <c r="N6" s="216" t="e">
        <f t="shared" si="0"/>
        <v>#REF!</v>
      </c>
      <c r="O6" s="216" t="e">
        <f t="shared" si="0"/>
        <v>#REF!</v>
      </c>
      <c r="P6" s="216" t="e">
        <f t="shared" si="0"/>
        <v>#REF!</v>
      </c>
      <c r="Q6" s="216" t="e">
        <f t="shared" si="0"/>
        <v>#REF!</v>
      </c>
    </row>
    <row r="7" spans="2:17" hidden="1" x14ac:dyDescent="0.25"/>
    <row r="8" spans="2:17" hidden="1" x14ac:dyDescent="0.25"/>
    <row r="10" spans="2:17" ht="15.75" customHeight="1" thickBot="1" x14ac:dyDescent="0.3">
      <c r="B10" s="19"/>
    </row>
    <row r="11" spans="2:17" ht="27" x14ac:dyDescent="0.25">
      <c r="B11" s="231" t="s">
        <v>139</v>
      </c>
      <c r="C11" s="232" t="s">
        <v>410</v>
      </c>
      <c r="D11" s="232" t="s">
        <v>411</v>
      </c>
      <c r="E11" s="233" t="s">
        <v>312</v>
      </c>
      <c r="F11" s="234" t="s">
        <v>347</v>
      </c>
    </row>
    <row r="12" spans="2:17" x14ac:dyDescent="0.25">
      <c r="B12" s="235" t="s">
        <v>317</v>
      </c>
      <c r="C12" s="239" t="e">
        <f>D2</f>
        <v>#REF!</v>
      </c>
      <c r="D12" s="239" t="e">
        <f>D3</f>
        <v>#REF!</v>
      </c>
      <c r="E12" s="230" t="e">
        <f>D5</f>
        <v>#REF!</v>
      </c>
      <c r="F12" s="241" t="e">
        <f t="shared" ref="F12:F26" si="1">(C12+D12)/E12</f>
        <v>#REF!</v>
      </c>
    </row>
    <row r="13" spans="2:17" s="19" customFormat="1" x14ac:dyDescent="0.25">
      <c r="B13" s="235" t="s">
        <v>317</v>
      </c>
      <c r="C13" s="239" t="e">
        <f>MATERIAIS!#REF!</f>
        <v>#REF!</v>
      </c>
      <c r="D13" s="239" t="e">
        <f>EQUIPAMENTOS!#REF!</f>
        <v>#REF!</v>
      </c>
      <c r="E13" s="196" t="e">
        <f>EQUIPAMENTOS!#REF!</f>
        <v>#REF!</v>
      </c>
      <c r="F13" s="241" t="e">
        <f t="shared" si="1"/>
        <v>#REF!</v>
      </c>
    </row>
    <row r="14" spans="2:17" x14ac:dyDescent="0.25">
      <c r="B14" s="236" t="s">
        <v>257</v>
      </c>
      <c r="C14" s="239" t="e">
        <f>E2</f>
        <v>#REF!</v>
      </c>
      <c r="D14" s="239" t="e">
        <f>E3</f>
        <v>#REF!</v>
      </c>
      <c r="E14" s="230" t="e">
        <f>E5</f>
        <v>#REF!</v>
      </c>
      <c r="F14" s="241" t="e">
        <f t="shared" si="1"/>
        <v>#REF!</v>
      </c>
    </row>
    <row r="15" spans="2:17" x14ac:dyDescent="0.25">
      <c r="B15" s="236" t="s">
        <v>258</v>
      </c>
      <c r="C15" s="239">
        <f>F2</f>
        <v>2434.3000000000002</v>
      </c>
      <c r="D15" s="239">
        <f>F3</f>
        <v>62.73</v>
      </c>
      <c r="E15" s="230">
        <f>F5</f>
        <v>11</v>
      </c>
      <c r="F15" s="241">
        <f t="shared" si="1"/>
        <v>227</v>
      </c>
    </row>
    <row r="16" spans="2:17" x14ac:dyDescent="0.25">
      <c r="B16" s="236" t="s">
        <v>259</v>
      </c>
      <c r="C16" s="239" t="e">
        <f>G2</f>
        <v>#REF!</v>
      </c>
      <c r="D16" s="239" t="e">
        <f>G3</f>
        <v>#REF!</v>
      </c>
      <c r="E16" s="230" t="e">
        <f>G5</f>
        <v>#REF!</v>
      </c>
      <c r="F16" s="241" t="e">
        <f t="shared" si="1"/>
        <v>#REF!</v>
      </c>
    </row>
    <row r="17" spans="2:6" x14ac:dyDescent="0.25">
      <c r="B17" s="236" t="s">
        <v>260</v>
      </c>
      <c r="C17" s="239" t="e">
        <f>H2</f>
        <v>#REF!</v>
      </c>
      <c r="D17" s="239" t="e">
        <f>H3</f>
        <v>#REF!</v>
      </c>
      <c r="E17" s="230" t="e">
        <f>H5</f>
        <v>#REF!</v>
      </c>
      <c r="F17" s="241" t="e">
        <f t="shared" si="1"/>
        <v>#REF!</v>
      </c>
    </row>
    <row r="18" spans="2:6" x14ac:dyDescent="0.25">
      <c r="B18" s="236" t="s">
        <v>261</v>
      </c>
      <c r="C18" s="239">
        <f>I2</f>
        <v>1669.51</v>
      </c>
      <c r="D18" s="239">
        <f>I3</f>
        <v>134.79</v>
      </c>
      <c r="E18" s="230">
        <f>I5</f>
        <v>1</v>
      </c>
      <c r="F18" s="241">
        <f t="shared" si="1"/>
        <v>1804.3</v>
      </c>
    </row>
    <row r="19" spans="2:6" x14ac:dyDescent="0.25">
      <c r="B19" s="236" t="s">
        <v>262</v>
      </c>
      <c r="C19" s="239" t="e">
        <f>J2</f>
        <v>#REF!</v>
      </c>
      <c r="D19" s="239" t="e">
        <f>J3</f>
        <v>#REF!</v>
      </c>
      <c r="E19" s="230" t="e">
        <f>J5</f>
        <v>#REF!</v>
      </c>
      <c r="F19" s="241" t="e">
        <f t="shared" si="1"/>
        <v>#REF!</v>
      </c>
    </row>
    <row r="20" spans="2:6" x14ac:dyDescent="0.25">
      <c r="B20" s="236" t="s">
        <v>263</v>
      </c>
      <c r="C20" s="239" t="e">
        <f>K2</f>
        <v>#REF!</v>
      </c>
      <c r="D20" s="239" t="e">
        <f>K3</f>
        <v>#REF!</v>
      </c>
      <c r="E20" s="230" t="e">
        <f>K5</f>
        <v>#REF!</v>
      </c>
      <c r="F20" s="241" t="e">
        <f t="shared" si="1"/>
        <v>#REF!</v>
      </c>
    </row>
    <row r="21" spans="2:6" x14ac:dyDescent="0.25">
      <c r="B21" s="236" t="s">
        <v>267</v>
      </c>
      <c r="C21" s="239">
        <f>L2</f>
        <v>1889.18</v>
      </c>
      <c r="D21" s="239">
        <f>L3</f>
        <v>110.2</v>
      </c>
      <c r="E21" s="230">
        <f>L5</f>
        <v>1</v>
      </c>
      <c r="F21" s="241">
        <f t="shared" si="1"/>
        <v>1999.38</v>
      </c>
    </row>
    <row r="22" spans="2:6" x14ac:dyDescent="0.25">
      <c r="B22" s="236" t="s">
        <v>264</v>
      </c>
      <c r="C22" s="239" t="e">
        <f>M2</f>
        <v>#REF!</v>
      </c>
      <c r="D22" s="239" t="e">
        <f>M3</f>
        <v>#REF!</v>
      </c>
      <c r="E22" s="230" t="e">
        <f>M5</f>
        <v>#REF!</v>
      </c>
      <c r="F22" s="241" t="e">
        <f t="shared" si="1"/>
        <v>#REF!</v>
      </c>
    </row>
    <row r="23" spans="2:6" x14ac:dyDescent="0.25">
      <c r="B23" s="236" t="s">
        <v>265</v>
      </c>
      <c r="C23" s="239" t="e">
        <f>N2</f>
        <v>#REF!</v>
      </c>
      <c r="D23" s="239" t="e">
        <f>N3</f>
        <v>#REF!</v>
      </c>
      <c r="E23" s="230" t="e">
        <f>N5</f>
        <v>#REF!</v>
      </c>
      <c r="F23" s="241" t="e">
        <f t="shared" si="1"/>
        <v>#REF!</v>
      </c>
    </row>
    <row r="24" spans="2:6" x14ac:dyDescent="0.25">
      <c r="B24" s="236" t="s">
        <v>266</v>
      </c>
      <c r="C24" s="239" t="e">
        <f>O2</f>
        <v>#REF!</v>
      </c>
      <c r="D24" s="239" t="e">
        <f>O3</f>
        <v>#REF!</v>
      </c>
      <c r="E24" s="230" t="e">
        <f>O5</f>
        <v>#REF!</v>
      </c>
      <c r="F24" s="241" t="e">
        <f t="shared" si="1"/>
        <v>#REF!</v>
      </c>
    </row>
    <row r="25" spans="2:6" x14ac:dyDescent="0.25">
      <c r="B25" s="236" t="s">
        <v>268</v>
      </c>
      <c r="C25" s="239" t="e">
        <f>P2</f>
        <v>#REF!</v>
      </c>
      <c r="D25" s="239" t="e">
        <f>P3</f>
        <v>#REF!</v>
      </c>
      <c r="E25" s="230" t="e">
        <f>P5</f>
        <v>#REF!</v>
      </c>
      <c r="F25" s="241" t="e">
        <f t="shared" si="1"/>
        <v>#REF!</v>
      </c>
    </row>
    <row r="26" spans="2:6" ht="15.75" thickBot="1" x14ac:dyDescent="0.3">
      <c r="B26" s="237" t="s">
        <v>269</v>
      </c>
      <c r="C26" s="240" t="e">
        <f>Q2</f>
        <v>#REF!</v>
      </c>
      <c r="D26" s="240" t="e">
        <f>Q3</f>
        <v>#REF!</v>
      </c>
      <c r="E26" s="238" t="e">
        <f>Q5</f>
        <v>#REF!</v>
      </c>
      <c r="F26" s="242" t="e">
        <f t="shared" si="1"/>
        <v>#REF!</v>
      </c>
    </row>
  </sheetData>
  <mergeCells count="4">
    <mergeCell ref="B2:C2"/>
    <mergeCell ref="B5:C5"/>
    <mergeCell ref="B6:C6"/>
    <mergeCell ref="B3:C3"/>
  </mergeCells>
  <conditionalFormatting sqref="D6:Q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2:F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1E3E7-42C1-4129-B94A-00F2C6550744}">
  <sheetPr codeName="Planilha12">
    <pageSetUpPr fitToPage="1"/>
  </sheetPr>
  <dimension ref="A1:D215"/>
  <sheetViews>
    <sheetView view="pageBreakPreview" topLeftCell="A14" zoomScale="85" zoomScaleNormal="85" zoomScaleSheetLayoutView="85" workbookViewId="0">
      <selection activeCell="A185" sqref="A185:C185"/>
    </sheetView>
  </sheetViews>
  <sheetFormatPr defaultColWidth="9.140625" defaultRowHeight="15" customHeight="1" outlineLevelRow="3" x14ac:dyDescent="0.25"/>
  <cols>
    <col min="1" max="1" width="16.7109375" style="19" customWidth="1"/>
    <col min="2" max="2" width="76.85546875" style="19" customWidth="1"/>
    <col min="3" max="3" width="22.85546875" style="19" customWidth="1"/>
    <col min="4" max="4" width="23.5703125" style="19" customWidth="1"/>
    <col min="5" max="16384" width="9.140625" style="19"/>
  </cols>
  <sheetData>
    <row r="1" spans="1:4" ht="15.75" x14ac:dyDescent="0.25">
      <c r="A1" s="544" t="s">
        <v>6</v>
      </c>
      <c r="B1" s="544"/>
      <c r="C1" s="544"/>
      <c r="D1" s="544"/>
    </row>
    <row r="2" spans="1:4" ht="15.75" x14ac:dyDescent="0.25">
      <c r="A2" s="545" t="s">
        <v>12</v>
      </c>
      <c r="B2" s="545"/>
      <c r="C2" s="546"/>
      <c r="D2" s="547"/>
    </row>
    <row r="3" spans="1:4" ht="15.75" x14ac:dyDescent="0.25">
      <c r="A3" s="545" t="s">
        <v>13</v>
      </c>
      <c r="B3" s="545"/>
      <c r="C3" s="546" t="s">
        <v>448</v>
      </c>
      <c r="D3" s="547"/>
    </row>
    <row r="4" spans="1:4" ht="15.75" x14ac:dyDescent="0.25">
      <c r="A4" s="517"/>
      <c r="B4" s="517"/>
      <c r="C4" s="517"/>
      <c r="D4" s="517"/>
    </row>
    <row r="5" spans="1:4" ht="15.75" x14ac:dyDescent="0.25">
      <c r="A5" s="517" t="s">
        <v>14</v>
      </c>
      <c r="B5" s="517"/>
      <c r="C5" s="517"/>
      <c r="D5" s="517"/>
    </row>
    <row r="6" spans="1:4" ht="15.75" x14ac:dyDescent="0.25">
      <c r="A6" s="165" t="s">
        <v>15</v>
      </c>
      <c r="B6" s="164"/>
      <c r="C6" s="518" t="s">
        <v>143</v>
      </c>
      <c r="D6" s="519"/>
    </row>
    <row r="7" spans="1:4" ht="15.75" x14ac:dyDescent="0.25">
      <c r="A7" s="165" t="s">
        <v>16</v>
      </c>
      <c r="B7" s="164" t="s">
        <v>4</v>
      </c>
      <c r="C7" s="520" t="s">
        <v>436</v>
      </c>
      <c r="D7" s="520"/>
    </row>
    <row r="8" spans="1:4" ht="15.75" x14ac:dyDescent="0.25">
      <c r="A8" s="23" t="s">
        <v>17</v>
      </c>
      <c r="B8" s="24" t="s">
        <v>18</v>
      </c>
      <c r="C8" s="521" t="s">
        <v>435</v>
      </c>
      <c r="D8" s="522"/>
    </row>
    <row r="9" spans="1:4" ht="15.75" x14ac:dyDescent="0.25">
      <c r="A9" s="165" t="s">
        <v>19</v>
      </c>
      <c r="B9" s="164" t="s">
        <v>20</v>
      </c>
      <c r="C9" s="523" t="s">
        <v>21</v>
      </c>
      <c r="D9" s="524"/>
    </row>
    <row r="10" spans="1:4" ht="15.75" x14ac:dyDescent="0.25">
      <c r="A10" s="165" t="s">
        <v>22</v>
      </c>
      <c r="B10" s="164" t="s">
        <v>23</v>
      </c>
      <c r="C10" s="523" t="s">
        <v>429</v>
      </c>
      <c r="D10" s="524"/>
    </row>
    <row r="11" spans="1:4" ht="15.75" x14ac:dyDescent="0.25">
      <c r="A11" s="165" t="s">
        <v>24</v>
      </c>
      <c r="B11" s="164" t="s">
        <v>249</v>
      </c>
      <c r="C11" s="550">
        <f>Resumo!F5</f>
        <v>9958.1</v>
      </c>
      <c r="D11" s="551"/>
    </row>
    <row r="12" spans="1:4" ht="15.75" x14ac:dyDescent="0.25">
      <c r="A12" s="165" t="s">
        <v>25</v>
      </c>
      <c r="B12" s="164" t="s">
        <v>26</v>
      </c>
      <c r="C12" s="552">
        <f>Resumo!I5</f>
        <v>12</v>
      </c>
      <c r="D12" s="539"/>
    </row>
    <row r="13" spans="1:4" ht="15.75" x14ac:dyDescent="0.25">
      <c r="A13" s="553"/>
      <c r="B13" s="554"/>
      <c r="C13" s="554"/>
      <c r="D13" s="554"/>
    </row>
    <row r="14" spans="1:4" ht="15.75" x14ac:dyDescent="0.25">
      <c r="A14" s="555" t="s">
        <v>27</v>
      </c>
      <c r="B14" s="556"/>
      <c r="C14" s="556"/>
      <c r="D14" s="557"/>
    </row>
    <row r="15" spans="1:4" ht="15.75" x14ac:dyDescent="0.25">
      <c r="A15" s="520" t="s">
        <v>28</v>
      </c>
      <c r="B15" s="520"/>
      <c r="C15" s="520"/>
      <c r="D15" s="520"/>
    </row>
    <row r="16" spans="1:4" ht="15.75" x14ac:dyDescent="0.25">
      <c r="A16" s="171">
        <v>1</v>
      </c>
      <c r="B16" s="172" t="s">
        <v>29</v>
      </c>
      <c r="C16" s="523" t="s">
        <v>271</v>
      </c>
      <c r="D16" s="524" t="s">
        <v>0</v>
      </c>
    </row>
    <row r="17" spans="1:4" ht="15.75" x14ac:dyDescent="0.25">
      <c r="A17" s="171">
        <v>2</v>
      </c>
      <c r="B17" s="25" t="s">
        <v>30</v>
      </c>
      <c r="C17" s="548" t="s">
        <v>270</v>
      </c>
      <c r="D17" s="549"/>
    </row>
    <row r="18" spans="1:4" ht="15.75" x14ac:dyDescent="0.25">
      <c r="A18" s="520" t="s">
        <v>31</v>
      </c>
      <c r="B18" s="520"/>
      <c r="C18" s="520"/>
      <c r="D18" s="520"/>
    </row>
    <row r="19" spans="1:4" ht="15.75" x14ac:dyDescent="0.3">
      <c r="A19" s="171">
        <v>3</v>
      </c>
      <c r="B19" s="525" t="s">
        <v>3</v>
      </c>
      <c r="C19" s="526"/>
      <c r="D19" s="97">
        <v>1240</v>
      </c>
    </row>
    <row r="20" spans="1:4" ht="15.75" x14ac:dyDescent="0.3">
      <c r="A20" s="171">
        <v>4</v>
      </c>
      <c r="B20" s="525" t="s">
        <v>250</v>
      </c>
      <c r="C20" s="526"/>
      <c r="D20" s="153">
        <v>220</v>
      </c>
    </row>
    <row r="21" spans="1:4" ht="15.75" x14ac:dyDescent="0.25">
      <c r="A21" s="171">
        <v>5</v>
      </c>
      <c r="B21" s="525" t="s">
        <v>32</v>
      </c>
      <c r="C21" s="526"/>
      <c r="D21" s="66" t="s">
        <v>272</v>
      </c>
    </row>
    <row r="22" spans="1:4" ht="15.75" x14ac:dyDescent="0.25">
      <c r="A22" s="171">
        <v>6</v>
      </c>
      <c r="B22" s="525" t="s">
        <v>2</v>
      </c>
      <c r="C22" s="526"/>
      <c r="D22" s="67">
        <v>44562</v>
      </c>
    </row>
    <row r="23" spans="1:4" ht="15.75" x14ac:dyDescent="0.25">
      <c r="A23" s="523"/>
      <c r="B23" s="535"/>
      <c r="C23" s="535"/>
      <c r="D23" s="524"/>
    </row>
    <row r="24" spans="1:4" ht="15.75" x14ac:dyDescent="0.25">
      <c r="A24" s="536" t="s">
        <v>33</v>
      </c>
      <c r="B24" s="536"/>
      <c r="C24" s="536"/>
      <c r="D24" s="536"/>
    </row>
    <row r="25" spans="1:4" ht="15.75" x14ac:dyDescent="0.25">
      <c r="A25" s="537"/>
      <c r="B25" s="538"/>
      <c r="C25" s="538"/>
      <c r="D25" s="539"/>
    </row>
    <row r="26" spans="1:4" ht="15.75" x14ac:dyDescent="0.25">
      <c r="A26" s="166">
        <v>1</v>
      </c>
      <c r="B26" s="540" t="s">
        <v>34</v>
      </c>
      <c r="C26" s="541"/>
      <c r="D26" s="166" t="s">
        <v>35</v>
      </c>
    </row>
    <row r="27" spans="1:4" ht="15.75" hidden="1" outlineLevel="1" x14ac:dyDescent="0.25">
      <c r="A27" s="165" t="s">
        <v>36</v>
      </c>
      <c r="B27" s="164" t="s">
        <v>144</v>
      </c>
      <c r="C27" s="64">
        <f>D20</f>
        <v>220</v>
      </c>
      <c r="D27" s="98">
        <f>D19</f>
        <v>1240</v>
      </c>
    </row>
    <row r="28" spans="1:4" ht="15.75" hidden="1" outlineLevel="1" x14ac:dyDescent="0.25">
      <c r="A28" s="165" t="s">
        <v>16</v>
      </c>
      <c r="B28" s="164" t="s">
        <v>145</v>
      </c>
      <c r="C28" s="26">
        <v>0</v>
      </c>
      <c r="D28" s="98">
        <f>C28*D27</f>
        <v>0</v>
      </c>
    </row>
    <row r="29" spans="1:4" ht="15.75" hidden="1" outlineLevel="1" x14ac:dyDescent="0.25">
      <c r="A29" s="165" t="s">
        <v>17</v>
      </c>
      <c r="B29" s="164" t="s">
        <v>38</v>
      </c>
      <c r="C29" s="26">
        <v>0.2</v>
      </c>
      <c r="D29" s="98">
        <f>C29*D27</f>
        <v>248</v>
      </c>
    </row>
    <row r="30" spans="1:4" ht="15.75" hidden="1" outlineLevel="1" x14ac:dyDescent="0.25">
      <c r="A30" s="165" t="s">
        <v>19</v>
      </c>
      <c r="B30" s="164" t="s">
        <v>146</v>
      </c>
      <c r="C30" s="154">
        <v>0</v>
      </c>
      <c r="D30" s="99">
        <f>SUM(D31:D32)</f>
        <v>0</v>
      </c>
    </row>
    <row r="31" spans="1:4" ht="15.75" hidden="1" outlineLevel="2" x14ac:dyDescent="0.25">
      <c r="A31" s="71" t="s">
        <v>111</v>
      </c>
      <c r="B31" s="164" t="s">
        <v>147</v>
      </c>
      <c r="C31" s="72">
        <v>0.2</v>
      </c>
      <c r="D31" s="99">
        <f>(SUM(D27:D29)/C27)*C31*15*C30</f>
        <v>0</v>
      </c>
    </row>
    <row r="32" spans="1:4" ht="15.75" hidden="1" outlineLevel="2" x14ac:dyDescent="0.25">
      <c r="A32" s="71" t="s">
        <v>112</v>
      </c>
      <c r="B32" s="164" t="s">
        <v>148</v>
      </c>
      <c r="C32" s="73">
        <f>C30*(60/52.5)/8</f>
        <v>0</v>
      </c>
      <c r="D32" s="99">
        <f>(SUM(D27:D29)/C27)*(C31)*15*C32</f>
        <v>0</v>
      </c>
    </row>
    <row r="33" spans="1:4" ht="15.75" hidden="1" outlineLevel="1" collapsed="1" x14ac:dyDescent="0.25">
      <c r="A33" s="169" t="s">
        <v>22</v>
      </c>
      <c r="B33" s="167" t="s">
        <v>149</v>
      </c>
      <c r="C33" s="74" t="s">
        <v>150</v>
      </c>
      <c r="D33" s="1">
        <f>SUM(D34:D37)</f>
        <v>0</v>
      </c>
    </row>
    <row r="34" spans="1:4" ht="15.75" hidden="1" outlineLevel="2" x14ac:dyDescent="0.25">
      <c r="A34" s="75" t="s">
        <v>151</v>
      </c>
      <c r="B34" s="168" t="s">
        <v>152</v>
      </c>
      <c r="C34" s="76">
        <v>0</v>
      </c>
      <c r="D34" s="100">
        <f>(SUM($D$27:$D$29)/$C$27)*C34*1.5</f>
        <v>0</v>
      </c>
    </row>
    <row r="35" spans="1:4" ht="15.75" hidden="1" outlineLevel="2" x14ac:dyDescent="0.25">
      <c r="A35" s="75" t="s">
        <v>153</v>
      </c>
      <c r="B35" s="77" t="s">
        <v>154</v>
      </c>
      <c r="C35" s="79">
        <v>0</v>
      </c>
      <c r="D35" s="100">
        <f>(SUM($D$27:$D$29)/$C$27)*C35*((60/52.5)*1.2*1.5)</f>
        <v>0</v>
      </c>
    </row>
    <row r="36" spans="1:4" ht="15.75" hidden="1" outlineLevel="2" x14ac:dyDescent="0.25">
      <c r="A36" s="75" t="s">
        <v>155</v>
      </c>
      <c r="B36" s="168" t="s">
        <v>156</v>
      </c>
      <c r="C36" s="79">
        <f>C34*0.1429</f>
        <v>0</v>
      </c>
      <c r="D36" s="100">
        <f>(SUM($D$27:$D$29)/$C$27)*C36*2</f>
        <v>0</v>
      </c>
    </row>
    <row r="37" spans="1:4" ht="15.75" hidden="1" outlineLevel="2" x14ac:dyDescent="0.25">
      <c r="A37" s="75" t="s">
        <v>157</v>
      </c>
      <c r="B37" s="168" t="s">
        <v>158</v>
      </c>
      <c r="C37" s="79">
        <f>C34*0.1429</f>
        <v>0</v>
      </c>
      <c r="D37" s="100">
        <f>(SUM($D$27:$D$29)/$C$27)*C37*((60/52.5)*1.2*2)</f>
        <v>0</v>
      </c>
    </row>
    <row r="38" spans="1:4" ht="15.75" hidden="1" outlineLevel="1" collapsed="1" x14ac:dyDescent="0.25">
      <c r="A38" s="165" t="s">
        <v>24</v>
      </c>
      <c r="B38" s="54" t="s">
        <v>39</v>
      </c>
      <c r="C38" s="55">
        <v>0</v>
      </c>
      <c r="D38" s="101">
        <v>0</v>
      </c>
    </row>
    <row r="39" spans="1:4" ht="15.75" collapsed="1" x14ac:dyDescent="0.25">
      <c r="A39" s="540" t="s">
        <v>40</v>
      </c>
      <c r="B39" s="542"/>
      <c r="C39" s="541"/>
      <c r="D39" s="102">
        <f>SUM(D27:D30,D33,D38)</f>
        <v>1488</v>
      </c>
    </row>
    <row r="40" spans="1:4" ht="15.75" x14ac:dyDescent="0.25">
      <c r="A40" s="543"/>
      <c r="B40" s="543"/>
      <c r="C40" s="543"/>
      <c r="D40" s="543"/>
    </row>
    <row r="41" spans="1:4" ht="15.75" hidden="1" outlineLevel="1" x14ac:dyDescent="0.25">
      <c r="A41" s="80" t="s">
        <v>159</v>
      </c>
      <c r="B41" s="103" t="s">
        <v>160</v>
      </c>
      <c r="C41" s="104" t="s">
        <v>161</v>
      </c>
      <c r="D41" s="104" t="s">
        <v>35</v>
      </c>
    </row>
    <row r="42" spans="1:4" ht="15.75" hidden="1" outlineLevel="1" x14ac:dyDescent="0.25">
      <c r="A42" s="163" t="s">
        <v>36</v>
      </c>
      <c r="B42" s="25" t="s">
        <v>162</v>
      </c>
      <c r="C42" s="81">
        <v>0</v>
      </c>
      <c r="D42" s="105">
        <f>(SUM(D27)/$C$27)*C42*1.5</f>
        <v>0</v>
      </c>
    </row>
    <row r="43" spans="1:4" ht="15.75" hidden="1" outlineLevel="1" x14ac:dyDescent="0.25">
      <c r="A43" s="106" t="s">
        <v>17</v>
      </c>
      <c r="B43" s="107" t="s">
        <v>163</v>
      </c>
      <c r="C43" s="108">
        <v>0</v>
      </c>
      <c r="D43" s="98">
        <f>C43*177</f>
        <v>0</v>
      </c>
    </row>
    <row r="44" spans="1:4" ht="15.75" hidden="1" outlineLevel="1" x14ac:dyDescent="0.25">
      <c r="A44" s="165" t="s">
        <v>19</v>
      </c>
      <c r="B44" s="54" t="s">
        <v>39</v>
      </c>
      <c r="C44" s="55">
        <v>0</v>
      </c>
      <c r="D44" s="101">
        <v>0</v>
      </c>
    </row>
    <row r="45" spans="1:4" ht="15.75" collapsed="1" x14ac:dyDescent="0.25">
      <c r="A45" s="527" t="s">
        <v>164</v>
      </c>
      <c r="B45" s="528"/>
      <c r="C45" s="28">
        <f>D45/D39</f>
        <v>0</v>
      </c>
      <c r="D45" s="109">
        <f>SUM(D42:D43)</f>
        <v>0</v>
      </c>
    </row>
    <row r="46" spans="1:4" ht="15.75" x14ac:dyDescent="0.25">
      <c r="A46" s="529"/>
      <c r="B46" s="530"/>
      <c r="C46" s="530"/>
      <c r="D46" s="531"/>
    </row>
    <row r="47" spans="1:4" ht="15.75" x14ac:dyDescent="0.25">
      <c r="A47" s="532" t="s">
        <v>41</v>
      </c>
      <c r="B47" s="533"/>
      <c r="C47" s="533"/>
      <c r="D47" s="534"/>
    </row>
    <row r="48" spans="1:4" ht="15.75" hidden="1" outlineLevel="1" x14ac:dyDescent="0.25">
      <c r="A48" s="529"/>
      <c r="B48" s="530"/>
      <c r="C48" s="530"/>
      <c r="D48" s="531"/>
    </row>
    <row r="49" spans="1:4" ht="15.75" hidden="1" outlineLevel="1" x14ac:dyDescent="0.25">
      <c r="A49" s="104" t="s">
        <v>42</v>
      </c>
      <c r="B49" s="103" t="s">
        <v>43</v>
      </c>
      <c r="C49" s="104" t="s">
        <v>44</v>
      </c>
      <c r="D49" s="104" t="s">
        <v>35</v>
      </c>
    </row>
    <row r="50" spans="1:4" ht="15.75" hidden="1" outlineLevel="2" x14ac:dyDescent="0.25">
      <c r="A50" s="106" t="s">
        <v>36</v>
      </c>
      <c r="B50" s="107" t="s">
        <v>45</v>
      </c>
      <c r="C50" s="27">
        <f>1/12</f>
        <v>8.3299999999999999E-2</v>
      </c>
      <c r="D50" s="98">
        <f>C50*D39</f>
        <v>123.95</v>
      </c>
    </row>
    <row r="51" spans="1:4" ht="15.75" hidden="1" outlineLevel="2" x14ac:dyDescent="0.25">
      <c r="A51" s="106" t="s">
        <v>16</v>
      </c>
      <c r="B51" s="107" t="s">
        <v>113</v>
      </c>
      <c r="C51" s="27">
        <f>IF(C12&gt;60,(1/C12/3)*5,IF(C12&gt;48,(1/C12/3)*4,IF(C12&gt;36,(1/C12/3)*3,IF(C12&gt;24,(1/C12/3)*2,IF(C12&gt;12,(1/C12/3)*1,0)))))</f>
        <v>0</v>
      </c>
      <c r="D51" s="98">
        <f>C51*D39</f>
        <v>0</v>
      </c>
    </row>
    <row r="52" spans="1:4" ht="15.75" hidden="1" outlineLevel="1" x14ac:dyDescent="0.25">
      <c r="A52" s="527" t="s">
        <v>11</v>
      </c>
      <c r="B52" s="528"/>
      <c r="C52" s="28">
        <f>SUM(C50:C51)</f>
        <v>8.3299999999999999E-2</v>
      </c>
      <c r="D52" s="109">
        <f>SUM(D50:D51)</f>
        <v>123.95</v>
      </c>
    </row>
    <row r="53" spans="1:4" ht="15.75" hidden="1" outlineLevel="1" x14ac:dyDescent="0.25">
      <c r="A53" s="529"/>
      <c r="B53" s="530"/>
      <c r="C53" s="530"/>
      <c r="D53" s="531"/>
    </row>
    <row r="54" spans="1:4" ht="15.75" hidden="1" outlineLevel="1" x14ac:dyDescent="0.25">
      <c r="A54" s="104" t="s">
        <v>46</v>
      </c>
      <c r="B54" s="110" t="s">
        <v>47</v>
      </c>
      <c r="C54" s="104" t="s">
        <v>44</v>
      </c>
      <c r="D54" s="111" t="s">
        <v>35</v>
      </c>
    </row>
    <row r="55" spans="1:4" ht="15.75" hidden="1" outlineLevel="2" x14ac:dyDescent="0.25">
      <c r="A55" s="163" t="s">
        <v>36</v>
      </c>
      <c r="B55" s="29" t="s">
        <v>48</v>
      </c>
      <c r="C55" s="30">
        <v>0.2</v>
      </c>
      <c r="D55" s="98">
        <f t="shared" ref="D55:D62" si="0">C55*($D$39+$D$52)</f>
        <v>322.39</v>
      </c>
    </row>
    <row r="56" spans="1:4" ht="15.75" hidden="1" outlineLevel="2" x14ac:dyDescent="0.25">
      <c r="A56" s="163" t="s">
        <v>16</v>
      </c>
      <c r="B56" s="29" t="s">
        <v>49</v>
      </c>
      <c r="C56" s="30">
        <v>2.5000000000000001E-2</v>
      </c>
      <c r="D56" s="98">
        <f t="shared" si="0"/>
        <v>40.299999999999997</v>
      </c>
    </row>
    <row r="57" spans="1:4" ht="15.75" hidden="1" outlineLevel="2" x14ac:dyDescent="0.25">
      <c r="A57" s="163" t="s">
        <v>17</v>
      </c>
      <c r="B57" s="29" t="s">
        <v>165</v>
      </c>
      <c r="C57" s="59">
        <v>0.03</v>
      </c>
      <c r="D57" s="98">
        <f t="shared" si="0"/>
        <v>48.36</v>
      </c>
    </row>
    <row r="58" spans="1:4" ht="15.75" hidden="1" outlineLevel="2" x14ac:dyDescent="0.25">
      <c r="A58" s="163" t="s">
        <v>19</v>
      </c>
      <c r="B58" s="29" t="s">
        <v>166</v>
      </c>
      <c r="C58" s="30">
        <v>1.4999999999999999E-2</v>
      </c>
      <c r="D58" s="98">
        <f t="shared" si="0"/>
        <v>24.18</v>
      </c>
    </row>
    <row r="59" spans="1:4" ht="15.75" hidden="1" outlineLevel="2" x14ac:dyDescent="0.25">
      <c r="A59" s="163" t="s">
        <v>22</v>
      </c>
      <c r="B59" s="29" t="s">
        <v>167</v>
      </c>
      <c r="C59" s="30">
        <v>0.01</v>
      </c>
      <c r="D59" s="98">
        <f t="shared" si="0"/>
        <v>16.12</v>
      </c>
    </row>
    <row r="60" spans="1:4" ht="15.75" hidden="1" outlineLevel="2" x14ac:dyDescent="0.25">
      <c r="A60" s="163" t="s">
        <v>24</v>
      </c>
      <c r="B60" s="29" t="s">
        <v>50</v>
      </c>
      <c r="C60" s="30">
        <v>6.0000000000000001E-3</v>
      </c>
      <c r="D60" s="98">
        <f t="shared" si="0"/>
        <v>9.67</v>
      </c>
    </row>
    <row r="61" spans="1:4" ht="15.75" hidden="1" outlineLevel="2" x14ac:dyDescent="0.25">
      <c r="A61" s="163" t="s">
        <v>25</v>
      </c>
      <c r="B61" s="29" t="s">
        <v>51</v>
      </c>
      <c r="C61" s="30">
        <v>2E-3</v>
      </c>
      <c r="D61" s="98">
        <f t="shared" si="0"/>
        <v>3.22</v>
      </c>
    </row>
    <row r="62" spans="1:4" ht="15.75" hidden="1" outlineLevel="2" x14ac:dyDescent="0.25">
      <c r="A62" s="163" t="s">
        <v>52</v>
      </c>
      <c r="B62" s="29" t="s">
        <v>53</v>
      </c>
      <c r="C62" s="30">
        <v>0.08</v>
      </c>
      <c r="D62" s="98">
        <f t="shared" si="0"/>
        <v>128.96</v>
      </c>
    </row>
    <row r="63" spans="1:4" ht="15.75" hidden="1" outlineLevel="1" x14ac:dyDescent="0.25">
      <c r="A63" s="527" t="s">
        <v>11</v>
      </c>
      <c r="B63" s="528"/>
      <c r="C63" s="31">
        <f>SUM(C55:C62)</f>
        <v>0.36799999999999999</v>
      </c>
      <c r="D63" s="112">
        <f>SUM(D55:D62)</f>
        <v>593.20000000000005</v>
      </c>
    </row>
    <row r="64" spans="1:4" ht="15.75" hidden="1" outlineLevel="1" x14ac:dyDescent="0.25">
      <c r="A64" s="529"/>
      <c r="B64" s="530"/>
      <c r="C64" s="530"/>
      <c r="D64" s="531"/>
    </row>
    <row r="65" spans="1:4" ht="15.75" hidden="1" outlineLevel="1" x14ac:dyDescent="0.25">
      <c r="A65" s="104" t="s">
        <v>54</v>
      </c>
      <c r="B65" s="110" t="s">
        <v>55</v>
      </c>
      <c r="C65" s="104" t="s">
        <v>56</v>
      </c>
      <c r="D65" s="104" t="s">
        <v>35</v>
      </c>
    </row>
    <row r="66" spans="1:4" ht="15.75" hidden="1" outlineLevel="2" x14ac:dyDescent="0.25">
      <c r="A66" s="163" t="s">
        <v>36</v>
      </c>
      <c r="B66" s="29" t="s">
        <v>57</v>
      </c>
      <c r="C66" s="113">
        <v>5.6</v>
      </c>
      <c r="D66" s="114">
        <f>IF(D67+D68&gt;0,(D67+D68),0)</f>
        <v>160.80000000000001</v>
      </c>
    </row>
    <row r="67" spans="1:4" ht="15.75" hidden="1" outlineLevel="3" x14ac:dyDescent="0.25">
      <c r="A67" s="115" t="s">
        <v>110</v>
      </c>
      <c r="B67" s="29" t="s">
        <v>168</v>
      </c>
      <c r="C67" s="116">
        <v>21</v>
      </c>
      <c r="D67" s="117">
        <f>C66*C67*2</f>
        <v>235.2</v>
      </c>
    </row>
    <row r="68" spans="1:4" ht="15.75" hidden="1" outlineLevel="3" x14ac:dyDescent="0.25">
      <c r="A68" s="115" t="s">
        <v>114</v>
      </c>
      <c r="B68" s="29" t="s">
        <v>169</v>
      </c>
      <c r="C68" s="118">
        <v>0.06</v>
      </c>
      <c r="D68" s="117">
        <f>-D27*C68</f>
        <v>-74.400000000000006</v>
      </c>
    </row>
    <row r="69" spans="1:4" ht="15.75" hidden="1" outlineLevel="2" x14ac:dyDescent="0.25">
      <c r="A69" s="163" t="s">
        <v>16</v>
      </c>
      <c r="B69" s="29" t="s">
        <v>58</v>
      </c>
      <c r="C69" s="119">
        <v>19.5</v>
      </c>
      <c r="D69" s="114">
        <f>D70+D71</f>
        <v>331.69</v>
      </c>
    </row>
    <row r="70" spans="1:4" ht="15.75" hidden="1" outlineLevel="3" x14ac:dyDescent="0.25">
      <c r="A70" s="115" t="s">
        <v>90</v>
      </c>
      <c r="B70" s="29" t="s">
        <v>170</v>
      </c>
      <c r="C70" s="116">
        <v>21</v>
      </c>
      <c r="D70" s="117">
        <f>C69*C70</f>
        <v>409.5</v>
      </c>
    </row>
    <row r="71" spans="1:4" ht="15.75" hidden="1" outlineLevel="3" x14ac:dyDescent="0.25">
      <c r="A71" s="115" t="s">
        <v>115</v>
      </c>
      <c r="B71" s="29" t="s">
        <v>91</v>
      </c>
      <c r="C71" s="120">
        <v>-0.19</v>
      </c>
      <c r="D71" s="117">
        <f>D70*C71</f>
        <v>-77.81</v>
      </c>
    </row>
    <row r="72" spans="1:4" ht="15.75" hidden="1" outlineLevel="2" x14ac:dyDescent="0.25">
      <c r="A72" s="163" t="s">
        <v>17</v>
      </c>
      <c r="B72" s="68" t="s">
        <v>286</v>
      </c>
      <c r="C72" s="123">
        <v>17.32</v>
      </c>
      <c r="D72" s="122">
        <f>C72</f>
        <v>17.32</v>
      </c>
    </row>
    <row r="73" spans="1:4" ht="15.75" hidden="1" outlineLevel="2" x14ac:dyDescent="0.25">
      <c r="A73" s="163" t="s">
        <v>19</v>
      </c>
      <c r="B73" s="69" t="s">
        <v>288</v>
      </c>
      <c r="C73" s="123">
        <f>140*3</f>
        <v>420</v>
      </c>
      <c r="D73" s="122">
        <f>C73*C152</f>
        <v>0.84</v>
      </c>
    </row>
    <row r="74" spans="1:4" ht="15.75" hidden="1" outlineLevel="2" x14ac:dyDescent="0.25">
      <c r="A74" s="163" t="s">
        <v>22</v>
      </c>
      <c r="B74" s="68" t="s">
        <v>287</v>
      </c>
      <c r="C74" s="123">
        <v>21</v>
      </c>
      <c r="D74" s="122">
        <f>C74</f>
        <v>21</v>
      </c>
    </row>
    <row r="75" spans="1:4" ht="15.75" hidden="1" outlineLevel="2" x14ac:dyDescent="0.25">
      <c r="A75" s="163" t="s">
        <v>24</v>
      </c>
      <c r="B75" s="68" t="s">
        <v>39</v>
      </c>
      <c r="C75" s="121">
        <v>0</v>
      </c>
      <c r="D75" s="122">
        <f>C75*D39</f>
        <v>0</v>
      </c>
    </row>
    <row r="76" spans="1:4" ht="15.75" hidden="1" outlineLevel="2" x14ac:dyDescent="0.25">
      <c r="A76" s="163" t="s">
        <v>25</v>
      </c>
      <c r="B76" s="68" t="s">
        <v>39</v>
      </c>
      <c r="C76" s="123">
        <v>0</v>
      </c>
      <c r="D76" s="124">
        <f>C76</f>
        <v>0</v>
      </c>
    </row>
    <row r="77" spans="1:4" ht="15.75" hidden="1" outlineLevel="1" x14ac:dyDescent="0.25">
      <c r="A77" s="527" t="s">
        <v>59</v>
      </c>
      <c r="B77" s="564"/>
      <c r="C77" s="528"/>
      <c r="D77" s="109">
        <f>SUM(D66,D69,D72:D76)</f>
        <v>531.65</v>
      </c>
    </row>
    <row r="78" spans="1:4" ht="15.75" hidden="1" outlineLevel="1" x14ac:dyDescent="0.25">
      <c r="A78" s="529"/>
      <c r="B78" s="530"/>
      <c r="C78" s="530"/>
      <c r="D78" s="531"/>
    </row>
    <row r="79" spans="1:4" ht="15.75" hidden="1" outlineLevel="1" x14ac:dyDescent="0.25">
      <c r="A79" s="565" t="s">
        <v>60</v>
      </c>
      <c r="B79" s="566"/>
      <c r="C79" s="104" t="s">
        <v>44</v>
      </c>
      <c r="D79" s="104" t="s">
        <v>35</v>
      </c>
    </row>
    <row r="80" spans="1:4" ht="15.75" hidden="1" outlineLevel="1" x14ac:dyDescent="0.25">
      <c r="A80" s="163" t="s">
        <v>61</v>
      </c>
      <c r="B80" s="29" t="s">
        <v>43</v>
      </c>
      <c r="C80" s="32">
        <f>C52</f>
        <v>8.3299999999999999E-2</v>
      </c>
      <c r="D80" s="98">
        <f>D52</f>
        <v>123.95</v>
      </c>
    </row>
    <row r="81" spans="1:4" ht="15.75" hidden="1" outlineLevel="1" x14ac:dyDescent="0.25">
      <c r="A81" s="163" t="s">
        <v>46</v>
      </c>
      <c r="B81" s="29" t="s">
        <v>47</v>
      </c>
      <c r="C81" s="32">
        <f>C63</f>
        <v>0.36799999999999999</v>
      </c>
      <c r="D81" s="98">
        <f>D63</f>
        <v>593.20000000000005</v>
      </c>
    </row>
    <row r="82" spans="1:4" ht="15.75" hidden="1" outlineLevel="1" x14ac:dyDescent="0.25">
      <c r="A82" s="163" t="s">
        <v>62</v>
      </c>
      <c r="B82" s="29" t="s">
        <v>55</v>
      </c>
      <c r="C82" s="32">
        <f>D77/D39</f>
        <v>0.35730000000000001</v>
      </c>
      <c r="D82" s="98">
        <f>D77</f>
        <v>531.65</v>
      </c>
    </row>
    <row r="83" spans="1:4" ht="15.75" collapsed="1" x14ac:dyDescent="0.25">
      <c r="A83" s="527" t="s">
        <v>11</v>
      </c>
      <c r="B83" s="564"/>
      <c r="C83" s="528"/>
      <c r="D83" s="109">
        <f>SUM(D80:D82)</f>
        <v>1248.8</v>
      </c>
    </row>
    <row r="84" spans="1:4" ht="15.75" x14ac:dyDescent="0.25">
      <c r="A84" s="529"/>
      <c r="B84" s="530"/>
      <c r="C84" s="530"/>
      <c r="D84" s="531"/>
    </row>
    <row r="85" spans="1:4" ht="15.75" x14ac:dyDescent="0.25">
      <c r="A85" s="558" t="s">
        <v>171</v>
      </c>
      <c r="B85" s="559"/>
      <c r="C85" s="559"/>
      <c r="D85" s="560"/>
    </row>
    <row r="86" spans="1:4" ht="15.75" hidden="1" outlineLevel="1" x14ac:dyDescent="0.25">
      <c r="A86" s="529"/>
      <c r="B86" s="530"/>
      <c r="C86" s="530"/>
      <c r="D86" s="531"/>
    </row>
    <row r="87" spans="1:4" ht="15.75" hidden="1" outlineLevel="1" x14ac:dyDescent="0.25">
      <c r="A87" s="166" t="s">
        <v>172</v>
      </c>
      <c r="B87" s="103" t="s">
        <v>173</v>
      </c>
      <c r="C87" s="104" t="s">
        <v>44</v>
      </c>
      <c r="D87" s="104" t="s">
        <v>35</v>
      </c>
    </row>
    <row r="88" spans="1:4" ht="15.75" hidden="1" outlineLevel="2" x14ac:dyDescent="0.25">
      <c r="A88" s="33" t="s">
        <v>36</v>
      </c>
      <c r="B88" s="34" t="s">
        <v>174</v>
      </c>
      <c r="C88" s="33" t="s">
        <v>150</v>
      </c>
      <c r="D88" s="125">
        <f>IF(C99&gt;1,SUM(D89:D92)*2,SUM(D89:D92))</f>
        <v>1906.23</v>
      </c>
    </row>
    <row r="89" spans="1:4" ht="15.75" hidden="1" outlineLevel="3" x14ac:dyDescent="0.25">
      <c r="A89" s="35" t="s">
        <v>175</v>
      </c>
      <c r="B89" s="36" t="s">
        <v>176</v>
      </c>
      <c r="C89" s="33">
        <f>(IF(C12&gt;60,45,IF(C12&gt;48,42,IF(C12&gt;36,39,IF(C12&gt;24,36,IF(C12&gt;12,33,30)))))/30)</f>
        <v>1</v>
      </c>
      <c r="D89" s="125">
        <f>D39*C89</f>
        <v>1488</v>
      </c>
    </row>
    <row r="90" spans="1:4" ht="15.75" hidden="1" outlineLevel="3" x14ac:dyDescent="0.25">
      <c r="A90" s="35" t="s">
        <v>177</v>
      </c>
      <c r="B90" s="36" t="s">
        <v>178</v>
      </c>
      <c r="C90" s="27">
        <f>1/12</f>
        <v>8.3299999999999999E-2</v>
      </c>
      <c r="D90" s="125">
        <f>C90*D89</f>
        <v>123.95</v>
      </c>
    </row>
    <row r="91" spans="1:4" ht="15.75" hidden="1" outlineLevel="3" x14ac:dyDescent="0.25">
      <c r="A91" s="35" t="s">
        <v>179</v>
      </c>
      <c r="B91" s="36" t="s">
        <v>180</v>
      </c>
      <c r="C91" s="27">
        <f>(1/12)+(1/12/3)</f>
        <v>0.1111</v>
      </c>
      <c r="D91" s="126">
        <f>C91*D89</f>
        <v>165.32</v>
      </c>
    </row>
    <row r="92" spans="1:4" ht="15.75" hidden="1" outlineLevel="3" x14ac:dyDescent="0.25">
      <c r="A92" s="35" t="s">
        <v>181</v>
      </c>
      <c r="B92" s="36" t="s">
        <v>182</v>
      </c>
      <c r="C92" s="37">
        <v>0.08</v>
      </c>
      <c r="D92" s="125">
        <f>SUM(D89:D90)*C92</f>
        <v>128.96</v>
      </c>
    </row>
    <row r="93" spans="1:4" ht="15.75" hidden="1" outlineLevel="2" x14ac:dyDescent="0.25">
      <c r="A93" s="33" t="s">
        <v>16</v>
      </c>
      <c r="B93" s="34" t="s">
        <v>183</v>
      </c>
      <c r="C93" s="38">
        <v>0.4</v>
      </c>
      <c r="D93" s="125">
        <f>C93*D94</f>
        <v>619.01</v>
      </c>
    </row>
    <row r="94" spans="1:4" ht="15.75" hidden="1" outlineLevel="3" x14ac:dyDescent="0.25">
      <c r="A94" s="33" t="s">
        <v>184</v>
      </c>
      <c r="B94" s="34" t="s">
        <v>185</v>
      </c>
      <c r="C94" s="38">
        <f>C62</f>
        <v>0.08</v>
      </c>
      <c r="D94" s="125">
        <f>C94*D95</f>
        <v>1547.52</v>
      </c>
    </row>
    <row r="95" spans="1:4" ht="15.75" hidden="1" outlineLevel="3" x14ac:dyDescent="0.25">
      <c r="A95" s="33" t="s">
        <v>186</v>
      </c>
      <c r="B95" s="39" t="s">
        <v>116</v>
      </c>
      <c r="C95" s="40" t="s">
        <v>150</v>
      </c>
      <c r="D95" s="126">
        <f>SUM(D96:D98)</f>
        <v>19344</v>
      </c>
    </row>
    <row r="96" spans="1:4" ht="15.75" hidden="1" outlineLevel="3" x14ac:dyDescent="0.25">
      <c r="A96" s="35" t="s">
        <v>187</v>
      </c>
      <c r="B96" s="36" t="s">
        <v>188</v>
      </c>
      <c r="C96" s="41">
        <f>C12-C98</f>
        <v>12</v>
      </c>
      <c r="D96" s="125">
        <f>D39*C96</f>
        <v>17856</v>
      </c>
    </row>
    <row r="97" spans="1:4" ht="15.75" hidden="1" outlineLevel="3" x14ac:dyDescent="0.25">
      <c r="A97" s="35" t="s">
        <v>189</v>
      </c>
      <c r="B97" s="36" t="s">
        <v>190</v>
      </c>
      <c r="C97" s="42">
        <f>C12/12</f>
        <v>1</v>
      </c>
      <c r="D97" s="125">
        <f>D39*C97</f>
        <v>1488</v>
      </c>
    </row>
    <row r="98" spans="1:4" ht="15.75" hidden="1" outlineLevel="3" x14ac:dyDescent="0.25">
      <c r="A98" s="35" t="s">
        <v>191</v>
      </c>
      <c r="B98" s="36" t="s">
        <v>192</v>
      </c>
      <c r="C98" s="40">
        <f>IF(C12&gt;60,5,IF(C12&gt;48,4,IF(C12&gt;36,3,IF(C12&gt;24,2,IF(C12&gt;12,1,0)))))</f>
        <v>0</v>
      </c>
      <c r="D98" s="126">
        <f>D39*C98*1.33333333333333</f>
        <v>0</v>
      </c>
    </row>
    <row r="99" spans="1:4" ht="15.75" hidden="1" outlineLevel="1" x14ac:dyDescent="0.25">
      <c r="A99" s="527" t="s">
        <v>11</v>
      </c>
      <c r="B99" s="528"/>
      <c r="C99" s="60">
        <v>0.94450000000000001</v>
      </c>
      <c r="D99" s="109">
        <f>IF(C99&gt;1,D88+D93,(D88+D93)*C99)</f>
        <v>2385.09</v>
      </c>
    </row>
    <row r="100" spans="1:4" ht="15.75" hidden="1" outlineLevel="1" x14ac:dyDescent="0.25">
      <c r="A100" s="561"/>
      <c r="B100" s="562"/>
      <c r="C100" s="562"/>
      <c r="D100" s="563"/>
    </row>
    <row r="101" spans="1:4" ht="15.75" hidden="1" outlineLevel="1" x14ac:dyDescent="0.25">
      <c r="A101" s="166" t="s">
        <v>193</v>
      </c>
      <c r="B101" s="103" t="s">
        <v>194</v>
      </c>
      <c r="C101" s="104" t="s">
        <v>44</v>
      </c>
      <c r="D101" s="104" t="s">
        <v>35</v>
      </c>
    </row>
    <row r="102" spans="1:4" ht="15.75" hidden="1" outlineLevel="2" x14ac:dyDescent="0.25">
      <c r="A102" s="33" t="s">
        <v>36</v>
      </c>
      <c r="B102" s="39" t="s">
        <v>195</v>
      </c>
      <c r="C102" s="43">
        <f>IF(C111&gt;1,(1/30*7)*2,(1/30*7))</f>
        <v>0.23330000000000001</v>
      </c>
      <c r="D102" s="126">
        <f>C102*SUM(D103:D107)</f>
        <v>677.06</v>
      </c>
    </row>
    <row r="103" spans="1:4" ht="15.75" hidden="1" outlineLevel="3" x14ac:dyDescent="0.25">
      <c r="A103" s="35" t="s">
        <v>175</v>
      </c>
      <c r="B103" s="36" t="s">
        <v>196</v>
      </c>
      <c r="C103" s="33">
        <v>1</v>
      </c>
      <c r="D103" s="125">
        <f>D39</f>
        <v>1488</v>
      </c>
    </row>
    <row r="104" spans="1:4" ht="15.75" hidden="1" outlineLevel="3" x14ac:dyDescent="0.25">
      <c r="A104" s="35" t="s">
        <v>177</v>
      </c>
      <c r="B104" s="36" t="s">
        <v>197</v>
      </c>
      <c r="C104" s="27">
        <f>1/12</f>
        <v>8.3299999999999999E-2</v>
      </c>
      <c r="D104" s="125">
        <f>C104*D103</f>
        <v>123.95</v>
      </c>
    </row>
    <row r="105" spans="1:4" ht="15.75" hidden="1" outlineLevel="3" x14ac:dyDescent="0.25">
      <c r="A105" s="35" t="s">
        <v>179</v>
      </c>
      <c r="B105" s="36" t="s">
        <v>198</v>
      </c>
      <c r="C105" s="27">
        <f>(1/12)+(1/12/3)</f>
        <v>0.1111</v>
      </c>
      <c r="D105" s="125">
        <f>C105*D103</f>
        <v>165.32</v>
      </c>
    </row>
    <row r="106" spans="1:4" ht="15.75" hidden="1" outlineLevel="3" x14ac:dyDescent="0.25">
      <c r="A106" s="35" t="s">
        <v>181</v>
      </c>
      <c r="B106" s="44" t="s">
        <v>63</v>
      </c>
      <c r="C106" s="45">
        <f>C63</f>
        <v>0.36799999999999999</v>
      </c>
      <c r="D106" s="126">
        <f>C106*(D103+D104)</f>
        <v>593.20000000000005</v>
      </c>
    </row>
    <row r="107" spans="1:4" ht="15.75" hidden="1" outlineLevel="3" x14ac:dyDescent="0.25">
      <c r="A107" s="35" t="s">
        <v>199</v>
      </c>
      <c r="B107" s="44" t="s">
        <v>200</v>
      </c>
      <c r="C107" s="46">
        <v>1</v>
      </c>
      <c r="D107" s="126">
        <f>D77</f>
        <v>531.65</v>
      </c>
    </row>
    <row r="108" spans="1:4" ht="15.75" hidden="1" outlineLevel="2" x14ac:dyDescent="0.25">
      <c r="A108" s="33" t="s">
        <v>16</v>
      </c>
      <c r="B108" s="34" t="s">
        <v>201</v>
      </c>
      <c r="C108" s="38">
        <v>0.4</v>
      </c>
      <c r="D108" s="125">
        <f>C108*D109</f>
        <v>619.01</v>
      </c>
    </row>
    <row r="109" spans="1:4" ht="15.75" hidden="1" outlineLevel="2" x14ac:dyDescent="0.25">
      <c r="A109" s="33" t="s">
        <v>184</v>
      </c>
      <c r="B109" s="34" t="s">
        <v>185</v>
      </c>
      <c r="C109" s="38">
        <f>C62</f>
        <v>0.08</v>
      </c>
      <c r="D109" s="125">
        <f>C109*D110</f>
        <v>1547.52</v>
      </c>
    </row>
    <row r="110" spans="1:4" ht="15.75" hidden="1" outlineLevel="2" x14ac:dyDescent="0.25">
      <c r="A110" s="33" t="s">
        <v>186</v>
      </c>
      <c r="B110" s="39" t="s">
        <v>116</v>
      </c>
      <c r="C110" s="40" t="s">
        <v>150</v>
      </c>
      <c r="D110" s="126">
        <f>D95</f>
        <v>19344</v>
      </c>
    </row>
    <row r="111" spans="1:4" ht="15.75" hidden="1" outlineLevel="1" x14ac:dyDescent="0.25">
      <c r="A111" s="527" t="s">
        <v>11</v>
      </c>
      <c r="B111" s="528"/>
      <c r="C111" s="60">
        <f>1-C99</f>
        <v>5.5500000000000001E-2</v>
      </c>
      <c r="D111" s="109">
        <f>IF(C111&gt;1,D102+D108,(D102+D108)*C111)</f>
        <v>71.930000000000007</v>
      </c>
    </row>
    <row r="112" spans="1:4" ht="15.75" hidden="1" outlineLevel="1" x14ac:dyDescent="0.25">
      <c r="A112" s="561"/>
      <c r="B112" s="562"/>
      <c r="C112" s="562"/>
      <c r="D112" s="563"/>
    </row>
    <row r="113" spans="1:4" ht="15.75" hidden="1" outlineLevel="1" x14ac:dyDescent="0.25">
      <c r="A113" s="166" t="s">
        <v>202</v>
      </c>
      <c r="B113" s="103" t="s">
        <v>203</v>
      </c>
      <c r="C113" s="104" t="s">
        <v>44</v>
      </c>
      <c r="D113" s="104" t="s">
        <v>35</v>
      </c>
    </row>
    <row r="114" spans="1:4" ht="15.75" hidden="1" outlineLevel="2" x14ac:dyDescent="0.25">
      <c r="A114" s="163" t="s">
        <v>36</v>
      </c>
      <c r="B114" s="29" t="s">
        <v>204</v>
      </c>
      <c r="C114" s="32">
        <f>IF(C12&gt;60,(D39/12*(C12-60))/C12/D39,IF(C12&gt;48,(D39/12*(C12-48))/C12/D39,IF(C12&gt;36,(D39/12*(C12-36))/C12/D39,IF(C12&gt;24,(D39/12*(C12-24))/C12/D39,IF(C12&gt;12,((D39/12*(C12-12))/C12/D39),1/12)))))</f>
        <v>8.3299999999999999E-2</v>
      </c>
      <c r="D114" s="127">
        <f>C114*D39</f>
        <v>123.95</v>
      </c>
    </row>
    <row r="115" spans="1:4" ht="15.75" hidden="1" outlineLevel="2" x14ac:dyDescent="0.25">
      <c r="A115" s="163" t="s">
        <v>16</v>
      </c>
      <c r="B115" s="47" t="s">
        <v>205</v>
      </c>
      <c r="C115" s="32">
        <f>C114/3</f>
        <v>2.7799999999999998E-2</v>
      </c>
      <c r="D115" s="128">
        <f>C115*D39</f>
        <v>41.37</v>
      </c>
    </row>
    <row r="116" spans="1:4" ht="15.75" hidden="1" outlineLevel="1" x14ac:dyDescent="0.25">
      <c r="A116" s="527" t="s">
        <v>11</v>
      </c>
      <c r="B116" s="528"/>
      <c r="C116" s="28">
        <f>C114+C115</f>
        <v>0.1111</v>
      </c>
      <c r="D116" s="109">
        <f>SUM(D114:D115)</f>
        <v>165.32</v>
      </c>
    </row>
    <row r="117" spans="1:4" ht="15.75" hidden="1" outlineLevel="1" x14ac:dyDescent="0.25">
      <c r="A117" s="561"/>
      <c r="B117" s="562"/>
      <c r="C117" s="562"/>
      <c r="D117" s="563"/>
    </row>
    <row r="118" spans="1:4" ht="15.75" hidden="1" outlineLevel="1" x14ac:dyDescent="0.25">
      <c r="A118" s="565" t="s">
        <v>206</v>
      </c>
      <c r="B118" s="566"/>
      <c r="C118" s="104" t="s">
        <v>44</v>
      </c>
      <c r="D118" s="104" t="s">
        <v>35</v>
      </c>
    </row>
    <row r="119" spans="1:4" ht="15.75" hidden="1" outlineLevel="1" x14ac:dyDescent="0.25">
      <c r="A119" s="163" t="s">
        <v>172</v>
      </c>
      <c r="B119" s="29" t="s">
        <v>173</v>
      </c>
      <c r="C119" s="32">
        <f>C99</f>
        <v>0.94450000000000001</v>
      </c>
      <c r="D119" s="98">
        <f>D99</f>
        <v>2385.09</v>
      </c>
    </row>
    <row r="120" spans="1:4" ht="15.75" hidden="1" outlineLevel="1" x14ac:dyDescent="0.25">
      <c r="A120" s="106" t="s">
        <v>193</v>
      </c>
      <c r="B120" s="29" t="s">
        <v>194</v>
      </c>
      <c r="C120" s="48">
        <f>C111</f>
        <v>5.5500000000000001E-2</v>
      </c>
      <c r="D120" s="98">
        <f>D111</f>
        <v>71.930000000000007</v>
      </c>
    </row>
    <row r="121" spans="1:4" ht="15.75" hidden="1" outlineLevel="1" x14ac:dyDescent="0.25">
      <c r="A121" s="571" t="s">
        <v>207</v>
      </c>
      <c r="B121" s="571"/>
      <c r="C121" s="571"/>
      <c r="D121" s="129">
        <f>D119+D120</f>
        <v>2457.02</v>
      </c>
    </row>
    <row r="122" spans="1:4" ht="15.75" hidden="1" outlineLevel="1" x14ac:dyDescent="0.25">
      <c r="A122" s="567" t="s">
        <v>208</v>
      </c>
      <c r="B122" s="568"/>
      <c r="C122" s="61">
        <v>0.7</v>
      </c>
      <c r="D122" s="56">
        <f>C122*D121</f>
        <v>1719.91</v>
      </c>
    </row>
    <row r="123" spans="1:4" ht="15.75" hidden="1" outlineLevel="1" x14ac:dyDescent="0.25">
      <c r="A123" s="567" t="s">
        <v>209</v>
      </c>
      <c r="B123" s="568"/>
      <c r="C123" s="61">
        <v>0.01</v>
      </c>
      <c r="D123" s="56">
        <f>(D50+(D116/2))*-C123</f>
        <v>-2.0699999999999998</v>
      </c>
    </row>
    <row r="124" spans="1:4" ht="15.75" hidden="1" outlineLevel="1" x14ac:dyDescent="0.25">
      <c r="A124" s="569" t="s">
        <v>210</v>
      </c>
      <c r="B124" s="570"/>
      <c r="C124" s="65">
        <f>1/C12</f>
        <v>8.3299999999999999E-2</v>
      </c>
      <c r="D124" s="57">
        <f>(D122+D123)*C124</f>
        <v>143.1</v>
      </c>
    </row>
    <row r="125" spans="1:4" ht="15.75" hidden="1" outlineLevel="1" x14ac:dyDescent="0.25">
      <c r="A125" s="106" t="s">
        <v>202</v>
      </c>
      <c r="B125" s="29" t="s">
        <v>211</v>
      </c>
      <c r="C125" s="48"/>
      <c r="D125" s="117">
        <f>D116</f>
        <v>165.32</v>
      </c>
    </row>
    <row r="126" spans="1:4" ht="15.75" collapsed="1" x14ac:dyDescent="0.25">
      <c r="A126" s="527" t="s">
        <v>11</v>
      </c>
      <c r="B126" s="528"/>
      <c r="C126" s="28"/>
      <c r="D126" s="130">
        <f>D124+D125</f>
        <v>308.42</v>
      </c>
    </row>
    <row r="127" spans="1:4" ht="15.75" x14ac:dyDescent="0.25">
      <c r="A127" s="529"/>
      <c r="B127" s="530"/>
      <c r="C127" s="530"/>
      <c r="D127" s="531"/>
    </row>
    <row r="128" spans="1:4" ht="15.75" x14ac:dyDescent="0.25">
      <c r="A128" s="532" t="s">
        <v>64</v>
      </c>
      <c r="B128" s="533"/>
      <c r="C128" s="533"/>
      <c r="D128" s="534"/>
    </row>
    <row r="129" spans="1:4" ht="15.75" hidden="1" outlineLevel="1" x14ac:dyDescent="0.25">
      <c r="A129" s="561"/>
      <c r="B129" s="562"/>
      <c r="C129" s="562"/>
      <c r="D129" s="563"/>
    </row>
    <row r="130" spans="1:4" ht="15.75" hidden="1" outlineLevel="1" x14ac:dyDescent="0.25">
      <c r="A130" s="104" t="s">
        <v>65</v>
      </c>
      <c r="B130" s="110" t="s">
        <v>212</v>
      </c>
      <c r="C130" s="28" t="s">
        <v>44</v>
      </c>
      <c r="D130" s="104" t="s">
        <v>35</v>
      </c>
    </row>
    <row r="131" spans="1:4" ht="15.75" hidden="1" outlineLevel="2" x14ac:dyDescent="0.25">
      <c r="A131" s="131" t="s">
        <v>36</v>
      </c>
      <c r="B131" s="82" t="s">
        <v>66</v>
      </c>
      <c r="C131" s="49">
        <f>IF(C12&gt;60,5/C12,IF(C12&gt;48,4/C12,IF(C12&gt;36,3/C12,IF(C12&gt;24,2/C12,IF(C12&gt;12,1/C12,0)))))</f>
        <v>0</v>
      </c>
      <c r="D131" s="127">
        <f>SUM(D132:D136)</f>
        <v>0</v>
      </c>
    </row>
    <row r="132" spans="1:4" ht="15.75" hidden="1" outlineLevel="3" x14ac:dyDescent="0.25">
      <c r="A132" s="132" t="s">
        <v>213</v>
      </c>
      <c r="B132" s="83" t="s">
        <v>214</v>
      </c>
      <c r="C132" s="133">
        <f>D39</f>
        <v>1488</v>
      </c>
      <c r="D132" s="134">
        <f>$C$131*(D39)-($C$131*(D39)*C137/3)</f>
        <v>0</v>
      </c>
    </row>
    <row r="133" spans="1:4" ht="15.75" hidden="1" outlineLevel="3" x14ac:dyDescent="0.25">
      <c r="A133" s="132" t="s">
        <v>215</v>
      </c>
      <c r="B133" s="83" t="s">
        <v>216</v>
      </c>
      <c r="C133" s="133">
        <f>(D50)</f>
        <v>123.95</v>
      </c>
      <c r="D133" s="134">
        <f>$C$131*C133-($C$131*C133*C137/3)</f>
        <v>0</v>
      </c>
    </row>
    <row r="134" spans="1:4" ht="15.75" hidden="1" outlineLevel="3" x14ac:dyDescent="0.25">
      <c r="A134" s="132" t="s">
        <v>217</v>
      </c>
      <c r="B134" s="83" t="s">
        <v>218</v>
      </c>
      <c r="C134" s="135">
        <f>(D39/12)+(D51*IF(C12&gt;60,((C12-60)*(1/60))+1,IF(C12&gt;48,((C12-48)*(1/48))+1,IF(C12&gt;36,((C12-36)*(1/36))+1,IF(C12&gt;24,((C12-24)*(1/24))+1,IF(C12&gt;12,((C12-12)*(1/12))+1,1))))))</f>
        <v>124</v>
      </c>
      <c r="D134" s="134">
        <f>$C$131*C134-($C$131*C134*C137/3)</f>
        <v>0</v>
      </c>
    </row>
    <row r="135" spans="1:4" ht="15.75" hidden="1" outlineLevel="3" x14ac:dyDescent="0.25">
      <c r="A135" s="132" t="s">
        <v>219</v>
      </c>
      <c r="B135" s="83" t="s">
        <v>220</v>
      </c>
      <c r="C135" s="84">
        <f>C63</f>
        <v>0.36799999999999999</v>
      </c>
      <c r="D135" s="134">
        <f>SUM(D132:D134)*C131</f>
        <v>0</v>
      </c>
    </row>
    <row r="136" spans="1:4" ht="15.75" hidden="1" outlineLevel="3" x14ac:dyDescent="0.25">
      <c r="A136" s="132" t="s">
        <v>221</v>
      </c>
      <c r="B136" s="83" t="s">
        <v>222</v>
      </c>
      <c r="C136" s="135">
        <f>D124</f>
        <v>143.1</v>
      </c>
      <c r="D136" s="134">
        <f>C136*C131</f>
        <v>0</v>
      </c>
    </row>
    <row r="137" spans="1:4" ht="15.75" hidden="1" outlineLevel="2" x14ac:dyDescent="0.25">
      <c r="A137" s="163" t="s">
        <v>16</v>
      </c>
      <c r="B137" s="29" t="s">
        <v>223</v>
      </c>
      <c r="C137" s="85">
        <v>0</v>
      </c>
      <c r="D137" s="117">
        <f>$C$131*(D39)*(C137/3)</f>
        <v>0</v>
      </c>
    </row>
    <row r="138" spans="1:4" ht="15.75" hidden="1" outlineLevel="1" x14ac:dyDescent="0.25">
      <c r="A138" s="527" t="s">
        <v>224</v>
      </c>
      <c r="B138" s="528"/>
      <c r="C138" s="28">
        <f>C131+(D137/D39)</f>
        <v>0</v>
      </c>
      <c r="D138" s="109">
        <f>SUM(D131:D137)</f>
        <v>0</v>
      </c>
    </row>
    <row r="139" spans="1:4" ht="15.75" hidden="1" outlineLevel="1" x14ac:dyDescent="0.25">
      <c r="A139" s="561"/>
      <c r="B139" s="562"/>
      <c r="C139" s="562"/>
      <c r="D139" s="563"/>
    </row>
    <row r="140" spans="1:4" ht="15.75" hidden="1" outlineLevel="2" x14ac:dyDescent="0.25">
      <c r="A140" s="574" t="s">
        <v>225</v>
      </c>
      <c r="B140" s="136" t="s">
        <v>188</v>
      </c>
      <c r="C140" s="86">
        <v>220</v>
      </c>
      <c r="D140" s="137">
        <f>D39</f>
        <v>1488</v>
      </c>
    </row>
    <row r="141" spans="1:4" ht="15.75" hidden="1" outlineLevel="2" x14ac:dyDescent="0.25">
      <c r="A141" s="575"/>
      <c r="B141" s="136" t="s">
        <v>226</v>
      </c>
      <c r="C141" s="49">
        <f>(1+(1/3)+1)/12</f>
        <v>0.19439999999999999</v>
      </c>
      <c r="D141" s="138">
        <f>D140*C141</f>
        <v>289.27</v>
      </c>
    </row>
    <row r="142" spans="1:4" ht="15.75" hidden="1" outlineLevel="2" x14ac:dyDescent="0.25">
      <c r="A142" s="575"/>
      <c r="B142" s="136" t="s">
        <v>227</v>
      </c>
      <c r="C142" s="49">
        <f>C63</f>
        <v>0.36799999999999999</v>
      </c>
      <c r="D142" s="138">
        <f>(D140+D141)*C142</f>
        <v>654.04</v>
      </c>
    </row>
    <row r="143" spans="1:4" ht="15.75" hidden="1" outlineLevel="2" x14ac:dyDescent="0.25">
      <c r="A143" s="575"/>
      <c r="B143" s="136" t="s">
        <v>228</v>
      </c>
      <c r="C143" s="49">
        <f>D143/D140</f>
        <v>0.35730000000000001</v>
      </c>
      <c r="D143" s="138">
        <f>D77</f>
        <v>531.65</v>
      </c>
    </row>
    <row r="144" spans="1:4" ht="15.75" hidden="1" outlineLevel="2" x14ac:dyDescent="0.25">
      <c r="A144" s="576"/>
      <c r="B144" s="139" t="s">
        <v>229</v>
      </c>
      <c r="C144" s="49">
        <f>D144/D140</f>
        <v>9.6199999999999994E-2</v>
      </c>
      <c r="D144" s="138">
        <f>D124</f>
        <v>143.1</v>
      </c>
    </row>
    <row r="145" spans="1:4" ht="15.75" hidden="1" outlineLevel="2" x14ac:dyDescent="0.25">
      <c r="A145" s="577" t="s">
        <v>230</v>
      </c>
      <c r="B145" s="578"/>
      <c r="C145" s="87">
        <f>D145/D140</f>
        <v>2.0874000000000001</v>
      </c>
      <c r="D145" s="140">
        <f>SUM(D140:D144)</f>
        <v>3106.06</v>
      </c>
    </row>
    <row r="146" spans="1:4" ht="15.75" hidden="1" outlineLevel="2" x14ac:dyDescent="0.25">
      <c r="A146" s="579"/>
      <c r="B146" s="579"/>
      <c r="C146" s="579"/>
      <c r="D146" s="580"/>
    </row>
    <row r="147" spans="1:4" ht="15.75" hidden="1" outlineLevel="1" x14ac:dyDescent="0.25">
      <c r="A147" s="104" t="s">
        <v>231</v>
      </c>
      <c r="B147" s="110" t="s">
        <v>232</v>
      </c>
      <c r="C147" s="28" t="s">
        <v>44</v>
      </c>
      <c r="D147" s="104" t="s">
        <v>35</v>
      </c>
    </row>
    <row r="148" spans="1:4" ht="15.75" hidden="1" outlineLevel="2" x14ac:dyDescent="0.25">
      <c r="A148" s="163" t="s">
        <v>16</v>
      </c>
      <c r="B148" s="29" t="s">
        <v>118</v>
      </c>
      <c r="C148" s="70">
        <f>5/252</f>
        <v>1.9800000000000002E-2</v>
      </c>
      <c r="D148" s="127">
        <f>C148*$D$145</f>
        <v>61.5</v>
      </c>
    </row>
    <row r="149" spans="1:4" ht="15.75" hidden="1" outlineLevel="2" x14ac:dyDescent="0.25">
      <c r="A149" s="163" t="s">
        <v>17</v>
      </c>
      <c r="B149" s="29" t="s">
        <v>119</v>
      </c>
      <c r="C149" s="70">
        <f>1.383/252</f>
        <v>5.4999999999999997E-3</v>
      </c>
      <c r="D149" s="127">
        <f>C149*$D$145</f>
        <v>17.079999999999998</v>
      </c>
    </row>
    <row r="150" spans="1:4" ht="15.75" hidden="1" outlineLevel="2" x14ac:dyDescent="0.25">
      <c r="A150" s="163" t="s">
        <v>19</v>
      </c>
      <c r="B150" s="29" t="s">
        <v>117</v>
      </c>
      <c r="C150" s="70">
        <f>1.3892/252</f>
        <v>5.4999999999999997E-3</v>
      </c>
      <c r="D150" s="127">
        <f t="shared" ref="D150:D153" si="1">C150*$D$145</f>
        <v>17.079999999999998</v>
      </c>
    </row>
    <row r="151" spans="1:4" ht="15.75" hidden="1" outlineLevel="2" x14ac:dyDescent="0.25">
      <c r="A151" s="163" t="s">
        <v>22</v>
      </c>
      <c r="B151" s="29" t="s">
        <v>67</v>
      </c>
      <c r="C151" s="70">
        <f>0.65/252</f>
        <v>2.5999999999999999E-3</v>
      </c>
      <c r="D151" s="127">
        <f t="shared" si="1"/>
        <v>8.08</v>
      </c>
    </row>
    <row r="152" spans="1:4" ht="15.75" hidden="1" outlineLevel="2" x14ac:dyDescent="0.25">
      <c r="A152" s="163" t="s">
        <v>24</v>
      </c>
      <c r="B152" s="29" t="s">
        <v>68</v>
      </c>
      <c r="C152" s="70">
        <f>0.5052/252</f>
        <v>2E-3</v>
      </c>
      <c r="D152" s="127">
        <f t="shared" si="1"/>
        <v>6.21</v>
      </c>
    </row>
    <row r="153" spans="1:4" ht="15.75" hidden="1" outlineLevel="2" x14ac:dyDescent="0.25">
      <c r="A153" s="163" t="s">
        <v>36</v>
      </c>
      <c r="B153" s="58" t="s">
        <v>233</v>
      </c>
      <c r="C153" s="62">
        <f>0.2/252</f>
        <v>8.0000000000000004E-4</v>
      </c>
      <c r="D153" s="127">
        <f t="shared" si="1"/>
        <v>2.48</v>
      </c>
    </row>
    <row r="154" spans="1:4" ht="15.75" hidden="1" outlineLevel="1" x14ac:dyDescent="0.25">
      <c r="A154" s="527" t="s">
        <v>224</v>
      </c>
      <c r="B154" s="528"/>
      <c r="C154" s="28">
        <f>SUM(C148:C153)</f>
        <v>3.6200000000000003E-2</v>
      </c>
      <c r="D154" s="109">
        <f>SUM(D148:D153)</f>
        <v>112.43</v>
      </c>
    </row>
    <row r="155" spans="1:4" ht="15.75" hidden="1" outlineLevel="1" x14ac:dyDescent="0.25">
      <c r="A155" s="561"/>
      <c r="B155" s="562"/>
      <c r="C155" s="562"/>
      <c r="D155" s="563"/>
    </row>
    <row r="156" spans="1:4" ht="15.75" hidden="1" outlineLevel="1" x14ac:dyDescent="0.25">
      <c r="A156" s="565" t="s">
        <v>234</v>
      </c>
      <c r="B156" s="572"/>
      <c r="C156" s="28" t="s">
        <v>235</v>
      </c>
      <c r="D156" s="104" t="s">
        <v>35</v>
      </c>
    </row>
    <row r="157" spans="1:4" ht="15.75" hidden="1" outlineLevel="2" x14ac:dyDescent="0.3">
      <c r="A157" s="573" t="s">
        <v>236</v>
      </c>
      <c r="B157" s="136" t="s">
        <v>237</v>
      </c>
      <c r="C157" s="88">
        <f>C153</f>
        <v>8.0000000000000004E-4</v>
      </c>
      <c r="D157" s="141">
        <f>C157*-D140</f>
        <v>-1.19</v>
      </c>
    </row>
    <row r="158" spans="1:4" ht="15.75" hidden="1" outlineLevel="2" x14ac:dyDescent="0.3">
      <c r="A158" s="573"/>
      <c r="B158" s="142" t="s">
        <v>238</v>
      </c>
      <c r="C158" s="89">
        <v>0</v>
      </c>
      <c r="D158" s="143">
        <f>C158*-(D140/220/24*5)</f>
        <v>0</v>
      </c>
    </row>
    <row r="159" spans="1:4" ht="15.75" hidden="1" outlineLevel="2" x14ac:dyDescent="0.3">
      <c r="A159" s="573"/>
      <c r="B159" s="142" t="s">
        <v>239</v>
      </c>
      <c r="C159" s="89">
        <v>0</v>
      </c>
      <c r="D159" s="143">
        <f>C159*-D141</f>
        <v>0</v>
      </c>
    </row>
    <row r="160" spans="1:4" ht="15.75" hidden="1" outlineLevel="2" x14ac:dyDescent="0.3">
      <c r="A160" s="573"/>
      <c r="B160" s="136" t="s">
        <v>240</v>
      </c>
      <c r="C160" s="88">
        <f>C154</f>
        <v>3.6200000000000003E-2</v>
      </c>
      <c r="D160" s="141">
        <f>C160*-D66</f>
        <v>-5.82</v>
      </c>
    </row>
    <row r="161" spans="1:4" ht="15.75" hidden="1" outlineLevel="2" x14ac:dyDescent="0.3">
      <c r="A161" s="573"/>
      <c r="B161" s="136" t="s">
        <v>241</v>
      </c>
      <c r="C161" s="90">
        <f>C154</f>
        <v>3.6200000000000003E-2</v>
      </c>
      <c r="D161" s="144">
        <f>C161*-D69</f>
        <v>-12.01</v>
      </c>
    </row>
    <row r="162" spans="1:4" ht="15.75" hidden="1" outlineLevel="2" x14ac:dyDescent="0.3">
      <c r="A162" s="573"/>
      <c r="B162" s="139" t="s">
        <v>242</v>
      </c>
      <c r="C162" s="90">
        <f>C153</f>
        <v>8.0000000000000004E-4</v>
      </c>
      <c r="D162" s="144">
        <f>C162*-D74</f>
        <v>-0.02</v>
      </c>
    </row>
    <row r="163" spans="1:4" ht="15.75" hidden="1" outlineLevel="2" x14ac:dyDescent="0.25">
      <c r="A163" s="573"/>
      <c r="B163" s="139" t="s">
        <v>243</v>
      </c>
      <c r="C163" s="91">
        <f>C152</f>
        <v>2E-3</v>
      </c>
      <c r="D163" s="145">
        <f>C163*-SUM(D55:D61)</f>
        <v>-0.93</v>
      </c>
    </row>
    <row r="164" spans="1:4" ht="15.75" hidden="1" outlineLevel="2" x14ac:dyDescent="0.3">
      <c r="A164" s="573"/>
      <c r="B164" s="136" t="s">
        <v>244</v>
      </c>
      <c r="C164" s="88">
        <f>C153</f>
        <v>8.0000000000000004E-4</v>
      </c>
      <c r="D164" s="141">
        <f>C164*-D142</f>
        <v>-0.52</v>
      </c>
    </row>
    <row r="165" spans="1:4" ht="15.75" hidden="1" outlineLevel="1" x14ac:dyDescent="0.25">
      <c r="A165" s="527" t="s">
        <v>245</v>
      </c>
      <c r="B165" s="528"/>
      <c r="C165" s="28">
        <f>D165/D140</f>
        <v>-1.38E-2</v>
      </c>
      <c r="D165" s="109">
        <f>SUM(D157:D164)</f>
        <v>-20.49</v>
      </c>
    </row>
    <row r="166" spans="1:4" ht="15.75" hidden="1" outlineLevel="1" x14ac:dyDescent="0.25">
      <c r="A166" s="561"/>
      <c r="B166" s="562"/>
      <c r="C166" s="562"/>
      <c r="D166" s="563"/>
    </row>
    <row r="167" spans="1:4" ht="15.75" hidden="1" outlineLevel="1" x14ac:dyDescent="0.25">
      <c r="A167" s="527" t="s">
        <v>246</v>
      </c>
      <c r="B167" s="528"/>
      <c r="C167" s="28">
        <f>D167/D140</f>
        <v>6.1800000000000001E-2</v>
      </c>
      <c r="D167" s="109">
        <f>D154+D165</f>
        <v>91.94</v>
      </c>
    </row>
    <row r="168" spans="1:4" ht="15.75" hidden="1" outlineLevel="1" x14ac:dyDescent="0.25">
      <c r="A168" s="561"/>
      <c r="B168" s="562"/>
      <c r="C168" s="562"/>
      <c r="D168" s="563"/>
    </row>
    <row r="169" spans="1:4" ht="15.75" hidden="1" outlineLevel="1" x14ac:dyDescent="0.25">
      <c r="A169" s="565" t="s">
        <v>247</v>
      </c>
      <c r="B169" s="566"/>
      <c r="C169" s="104" t="s">
        <v>44</v>
      </c>
      <c r="D169" s="104" t="s">
        <v>35</v>
      </c>
    </row>
    <row r="170" spans="1:4" ht="15.75" hidden="1" outlineLevel="1" x14ac:dyDescent="0.25">
      <c r="A170" s="163" t="s">
        <v>65</v>
      </c>
      <c r="B170" s="29" t="s">
        <v>212</v>
      </c>
      <c r="C170" s="32"/>
      <c r="D170" s="146">
        <f>D138</f>
        <v>0</v>
      </c>
    </row>
    <row r="171" spans="1:4" ht="15.75" hidden="1" outlineLevel="1" x14ac:dyDescent="0.25">
      <c r="A171" s="163" t="s">
        <v>231</v>
      </c>
      <c r="B171" s="29" t="s">
        <v>232</v>
      </c>
      <c r="C171" s="32"/>
      <c r="D171" s="146">
        <f>D167</f>
        <v>91.94</v>
      </c>
    </row>
    <row r="172" spans="1:4" ht="15.75" collapsed="1" x14ac:dyDescent="0.25">
      <c r="A172" s="527" t="s">
        <v>11</v>
      </c>
      <c r="B172" s="564"/>
      <c r="C172" s="528"/>
      <c r="D172" s="147">
        <f>SUM(D170:D171)</f>
        <v>91.94</v>
      </c>
    </row>
    <row r="173" spans="1:4" ht="15.75" x14ac:dyDescent="0.25">
      <c r="A173" s="561"/>
      <c r="B173" s="562"/>
      <c r="C173" s="562"/>
      <c r="D173" s="563"/>
    </row>
    <row r="174" spans="1:4" ht="15.75" x14ac:dyDescent="0.25">
      <c r="A174" s="532" t="s">
        <v>69</v>
      </c>
      <c r="B174" s="533"/>
      <c r="C174" s="533"/>
      <c r="D174" s="534"/>
    </row>
    <row r="175" spans="1:4" ht="15.75" hidden="1" outlineLevel="1" x14ac:dyDescent="0.25">
      <c r="A175" s="561"/>
      <c r="B175" s="562"/>
      <c r="C175" s="562"/>
      <c r="D175" s="563"/>
    </row>
    <row r="176" spans="1:4" ht="15.75" hidden="1" outlineLevel="1" x14ac:dyDescent="0.25">
      <c r="A176" s="166">
        <v>5</v>
      </c>
      <c r="B176" s="527" t="s">
        <v>248</v>
      </c>
      <c r="C176" s="528"/>
      <c r="D176" s="104" t="s">
        <v>35</v>
      </c>
    </row>
    <row r="177" spans="1:4" ht="15.75" hidden="1" outlineLevel="1" x14ac:dyDescent="0.25">
      <c r="A177" s="174" t="s">
        <v>36</v>
      </c>
      <c r="B177" s="581" t="s">
        <v>324</v>
      </c>
      <c r="C177" s="582"/>
      <c r="D177" s="127">
        <f>INSUMOS!H12</f>
        <v>25.07</v>
      </c>
    </row>
    <row r="178" spans="1:4" ht="15.75" hidden="1" outlineLevel="1" x14ac:dyDescent="0.25">
      <c r="A178" s="174" t="s">
        <v>16</v>
      </c>
      <c r="B178" s="581" t="s">
        <v>341</v>
      </c>
      <c r="C178" s="582"/>
      <c r="D178" s="148">
        <f>INSUMOS!H22</f>
        <v>22.82</v>
      </c>
    </row>
    <row r="179" spans="1:4" ht="15.75" hidden="1" outlineLevel="1" x14ac:dyDescent="0.25">
      <c r="A179" s="174" t="s">
        <v>17</v>
      </c>
      <c r="B179" s="513" t="s">
        <v>315</v>
      </c>
      <c r="C179" s="514"/>
      <c r="D179" s="148">
        <f>MATERIAIS!F109</f>
        <v>221.3</v>
      </c>
    </row>
    <row r="180" spans="1:4" ht="15.75" hidden="1" outlineLevel="1" x14ac:dyDescent="0.25">
      <c r="A180" s="174" t="s">
        <v>19</v>
      </c>
      <c r="B180" s="513" t="s">
        <v>314</v>
      </c>
      <c r="C180" s="514"/>
      <c r="D180" s="148">
        <f>EQUIPAMENTOS!G111</f>
        <v>5.7</v>
      </c>
    </row>
    <row r="181" spans="1:4" ht="15.75" hidden="1" outlineLevel="1" x14ac:dyDescent="0.25">
      <c r="A181" s="174" t="s">
        <v>22</v>
      </c>
      <c r="B181" s="515" t="s">
        <v>39</v>
      </c>
      <c r="C181" s="516"/>
      <c r="D181" s="124">
        <v>0</v>
      </c>
    </row>
    <row r="182" spans="1:4" ht="15.75" hidden="1" outlineLevel="1" x14ac:dyDescent="0.25">
      <c r="A182" s="174" t="s">
        <v>24</v>
      </c>
      <c r="B182" s="515" t="s">
        <v>39</v>
      </c>
      <c r="C182" s="516"/>
      <c r="D182" s="124">
        <v>0</v>
      </c>
    </row>
    <row r="183" spans="1:4" ht="15.75" collapsed="1" x14ac:dyDescent="0.25">
      <c r="A183" s="527" t="s">
        <v>11</v>
      </c>
      <c r="B183" s="564"/>
      <c r="C183" s="528"/>
      <c r="D183" s="149">
        <f>SUM(D177:D181)</f>
        <v>274.89</v>
      </c>
    </row>
    <row r="184" spans="1:4" ht="15.75" x14ac:dyDescent="0.25">
      <c r="A184" s="529"/>
      <c r="B184" s="530"/>
      <c r="C184" s="530"/>
      <c r="D184" s="531"/>
    </row>
    <row r="185" spans="1:4" ht="15.75" x14ac:dyDescent="0.25">
      <c r="A185" s="587" t="s">
        <v>70</v>
      </c>
      <c r="B185" s="587"/>
      <c r="C185" s="587"/>
      <c r="D185" s="150">
        <f>D39+D83+D126+D172+D183</f>
        <v>3412.05</v>
      </c>
    </row>
    <row r="186" spans="1:4" ht="15.75" x14ac:dyDescent="0.25">
      <c r="A186" s="543"/>
      <c r="B186" s="543"/>
      <c r="C186" s="543"/>
      <c r="D186" s="543"/>
    </row>
    <row r="187" spans="1:4" ht="15.75" x14ac:dyDescent="0.25">
      <c r="A187" s="588" t="s">
        <v>71</v>
      </c>
      <c r="B187" s="588"/>
      <c r="C187" s="588"/>
      <c r="D187" s="588"/>
    </row>
    <row r="188" spans="1:4" ht="15.75" hidden="1" outlineLevel="1" x14ac:dyDescent="0.25">
      <c r="A188" s="589"/>
      <c r="B188" s="590"/>
      <c r="C188" s="590"/>
      <c r="D188" s="591"/>
    </row>
    <row r="189" spans="1:4" ht="15.75" hidden="1" outlineLevel="1" x14ac:dyDescent="0.25">
      <c r="A189" s="166">
        <v>6</v>
      </c>
      <c r="B189" s="110" t="s">
        <v>72</v>
      </c>
      <c r="C189" s="104" t="s">
        <v>44</v>
      </c>
      <c r="D189" s="104" t="s">
        <v>35</v>
      </c>
    </row>
    <row r="190" spans="1:4" ht="15.75" hidden="1" outlineLevel="1" x14ac:dyDescent="0.25">
      <c r="A190" s="163" t="s">
        <v>36</v>
      </c>
      <c r="B190" s="29" t="s">
        <v>73</v>
      </c>
      <c r="C190" s="63">
        <v>0.05</v>
      </c>
      <c r="D190" s="99">
        <f>C190*D185</f>
        <v>170.6</v>
      </c>
    </row>
    <row r="191" spans="1:4" ht="15.75" hidden="1" outlineLevel="1" x14ac:dyDescent="0.25">
      <c r="A191" s="583" t="s">
        <v>1</v>
      </c>
      <c r="B191" s="584"/>
      <c r="C191" s="586"/>
      <c r="D191" s="99">
        <f>D185+D190</f>
        <v>3582.65</v>
      </c>
    </row>
    <row r="192" spans="1:4" ht="15.75" hidden="1" outlineLevel="1" x14ac:dyDescent="0.25">
      <c r="A192" s="163" t="s">
        <v>16</v>
      </c>
      <c r="B192" s="29" t="s">
        <v>74</v>
      </c>
      <c r="C192" s="63">
        <v>0.05</v>
      </c>
      <c r="D192" s="99">
        <f>C192*D191</f>
        <v>179.13</v>
      </c>
    </row>
    <row r="193" spans="1:4" ht="15.75" hidden="1" outlineLevel="1" x14ac:dyDescent="0.25">
      <c r="A193" s="583" t="s">
        <v>1</v>
      </c>
      <c r="B193" s="584"/>
      <c r="C193" s="584"/>
      <c r="D193" s="99">
        <f>D192+D191</f>
        <v>3761.78</v>
      </c>
    </row>
    <row r="194" spans="1:4" ht="15.75" hidden="1" outlineLevel="1" x14ac:dyDescent="0.25">
      <c r="A194" s="163" t="s">
        <v>17</v>
      </c>
      <c r="B194" s="513" t="s">
        <v>75</v>
      </c>
      <c r="C194" s="585"/>
      <c r="D194" s="514"/>
    </row>
    <row r="195" spans="1:4" ht="15.75" hidden="1" outlineLevel="1" x14ac:dyDescent="0.25">
      <c r="A195" s="151"/>
      <c r="B195" s="164" t="s">
        <v>76</v>
      </c>
      <c r="C195" s="63">
        <v>6.4999999999999997E-3</v>
      </c>
      <c r="D195" s="99">
        <f>(D193/(1-C198)*C195)</f>
        <v>26.48</v>
      </c>
    </row>
    <row r="196" spans="1:4" ht="15.75" hidden="1" outlineLevel="1" x14ac:dyDescent="0.25">
      <c r="A196" s="151"/>
      <c r="B196" s="164" t="s">
        <v>77</v>
      </c>
      <c r="C196" s="63">
        <v>0.03</v>
      </c>
      <c r="D196" s="99">
        <f>(D193/(1-C198)*C196)</f>
        <v>122.2</v>
      </c>
    </row>
    <row r="197" spans="1:4" ht="15.75" hidden="1" outlineLevel="1" x14ac:dyDescent="0.25">
      <c r="A197" s="151"/>
      <c r="B197" s="164" t="s">
        <v>441</v>
      </c>
      <c r="C197" s="50">
        <v>0.04</v>
      </c>
      <c r="D197" s="99">
        <f>(D193/(1-C198)*C197)</f>
        <v>162.94</v>
      </c>
    </row>
    <row r="198" spans="1:4" ht="15.75" hidden="1" outlineLevel="1" x14ac:dyDescent="0.25">
      <c r="A198" s="583" t="s">
        <v>78</v>
      </c>
      <c r="B198" s="586"/>
      <c r="C198" s="51">
        <f>SUM(C195:C197)</f>
        <v>7.6499999999999999E-2</v>
      </c>
      <c r="D198" s="99">
        <f>SUM(D195:D197)</f>
        <v>311.62</v>
      </c>
    </row>
    <row r="199" spans="1:4" ht="15.75" collapsed="1" x14ac:dyDescent="0.25">
      <c r="A199" s="527" t="s">
        <v>11</v>
      </c>
      <c r="B199" s="528"/>
      <c r="C199" s="52">
        <f>(1+C190)*(1+C192)*(1/(1-C198))-1</f>
        <v>0.1938</v>
      </c>
      <c r="D199" s="102">
        <f>SUM(D198+D190+D192)</f>
        <v>661.35</v>
      </c>
    </row>
    <row r="200" spans="1:4" ht="15.75" x14ac:dyDescent="0.25">
      <c r="A200" s="529"/>
      <c r="B200" s="530"/>
      <c r="C200" s="530"/>
      <c r="D200" s="531"/>
    </row>
    <row r="201" spans="1:4" ht="15.75" x14ac:dyDescent="0.25">
      <c r="A201" s="540" t="s">
        <v>79</v>
      </c>
      <c r="B201" s="542"/>
      <c r="C201" s="541"/>
      <c r="D201" s="53" t="s">
        <v>35</v>
      </c>
    </row>
    <row r="202" spans="1:4" ht="15.75" x14ac:dyDescent="0.25">
      <c r="A202" s="525" t="s">
        <v>80</v>
      </c>
      <c r="B202" s="595"/>
      <c r="C202" s="595"/>
      <c r="D202" s="526"/>
    </row>
    <row r="203" spans="1:4" ht="15.75" x14ac:dyDescent="0.25">
      <c r="A203" s="165" t="s">
        <v>36</v>
      </c>
      <c r="B203" s="525" t="s">
        <v>81</v>
      </c>
      <c r="C203" s="526"/>
      <c r="D203" s="98">
        <f>D39</f>
        <v>1488</v>
      </c>
    </row>
    <row r="204" spans="1:4" ht="15.75" x14ac:dyDescent="0.25">
      <c r="A204" s="165" t="s">
        <v>16</v>
      </c>
      <c r="B204" s="525" t="s">
        <v>82</v>
      </c>
      <c r="C204" s="526"/>
      <c r="D204" s="98">
        <f>D83</f>
        <v>1248.8</v>
      </c>
    </row>
    <row r="205" spans="1:4" ht="15.75" x14ac:dyDescent="0.25">
      <c r="A205" s="165" t="s">
        <v>17</v>
      </c>
      <c r="B205" s="525" t="s">
        <v>83</v>
      </c>
      <c r="C205" s="526"/>
      <c r="D205" s="98">
        <f>D126</f>
        <v>308.42</v>
      </c>
    </row>
    <row r="206" spans="1:4" ht="15.75" x14ac:dyDescent="0.25">
      <c r="A206" s="165" t="s">
        <v>19</v>
      </c>
      <c r="B206" s="525" t="s">
        <v>84</v>
      </c>
      <c r="C206" s="526"/>
      <c r="D206" s="98">
        <f>D172</f>
        <v>91.94</v>
      </c>
    </row>
    <row r="207" spans="1:4" ht="15.75" x14ac:dyDescent="0.25">
      <c r="A207" s="165" t="s">
        <v>22</v>
      </c>
      <c r="B207" s="525" t="s">
        <v>85</v>
      </c>
      <c r="C207" s="526"/>
      <c r="D207" s="98">
        <f>D183</f>
        <v>274.89</v>
      </c>
    </row>
    <row r="208" spans="1:4" ht="15.75" x14ac:dyDescent="0.3">
      <c r="A208" s="592" t="s">
        <v>86</v>
      </c>
      <c r="B208" s="593"/>
      <c r="C208" s="594"/>
      <c r="D208" s="98">
        <f>SUM(D203:D207)</f>
        <v>3412.05</v>
      </c>
    </row>
    <row r="209" spans="1:4" ht="15.75" x14ac:dyDescent="0.25">
      <c r="A209" s="165" t="s">
        <v>87</v>
      </c>
      <c r="B209" s="525" t="s">
        <v>88</v>
      </c>
      <c r="C209" s="526"/>
      <c r="D209" s="98">
        <f>D199</f>
        <v>661.35</v>
      </c>
    </row>
    <row r="210" spans="1:4" ht="15.75" x14ac:dyDescent="0.25">
      <c r="A210" s="540" t="s">
        <v>89</v>
      </c>
      <c r="B210" s="542"/>
      <c r="C210" s="541"/>
      <c r="D210" s="152">
        <f xml:space="preserve"> D208+D209</f>
        <v>4073.4</v>
      </c>
    </row>
    <row r="211" spans="1:4" ht="15.75" x14ac:dyDescent="0.3">
      <c r="A211" s="22"/>
      <c r="B211" s="22"/>
      <c r="C211" s="22"/>
      <c r="D211" s="22"/>
    </row>
    <row r="212" spans="1:4" ht="16.5" thickBot="1" x14ac:dyDescent="0.35">
      <c r="A212" s="22"/>
      <c r="B212" s="22"/>
      <c r="C212" s="22"/>
      <c r="D212" s="22"/>
    </row>
    <row r="213" spans="1:4" ht="15.75" x14ac:dyDescent="0.25">
      <c r="A213" s="510" t="s">
        <v>274</v>
      </c>
      <c r="B213" s="511"/>
      <c r="C213" s="511"/>
      <c r="D213" s="512"/>
    </row>
    <row r="214" spans="1:4" ht="31.5" x14ac:dyDescent="0.25">
      <c r="A214" s="175" t="s">
        <v>275</v>
      </c>
      <c r="B214" s="176" t="s">
        <v>278</v>
      </c>
      <c r="C214" s="177" t="s">
        <v>276</v>
      </c>
      <c r="D214" s="178" t="s">
        <v>277</v>
      </c>
    </row>
    <row r="215" spans="1:4" ht="16.5" thickBot="1" x14ac:dyDescent="0.3">
      <c r="A215" s="179">
        <v>9</v>
      </c>
      <c r="B215" s="181">
        <f>1/(C11/A215)</f>
        <v>9.0378686699999996E-4</v>
      </c>
      <c r="C215" s="180">
        <f>D210</f>
        <v>4073.4</v>
      </c>
      <c r="D215" s="182">
        <f>C215*B215</f>
        <v>3.6814854239999999</v>
      </c>
    </row>
  </sheetData>
  <mergeCells count="108">
    <mergeCell ref="A208:C208"/>
    <mergeCell ref="B209:C209"/>
    <mergeCell ref="A210:C210"/>
    <mergeCell ref="A202:D202"/>
    <mergeCell ref="B203:C203"/>
    <mergeCell ref="B204:C204"/>
    <mergeCell ref="B205:C205"/>
    <mergeCell ref="B206:C206"/>
    <mergeCell ref="B207:C207"/>
    <mergeCell ref="A193:C193"/>
    <mergeCell ref="B194:D194"/>
    <mergeCell ref="A198:B198"/>
    <mergeCell ref="A199:B199"/>
    <mergeCell ref="A200:D200"/>
    <mergeCell ref="A201:C201"/>
    <mergeCell ref="A184:D184"/>
    <mergeCell ref="A185:C185"/>
    <mergeCell ref="A186:D186"/>
    <mergeCell ref="A187:D187"/>
    <mergeCell ref="A188:D188"/>
    <mergeCell ref="A191:C191"/>
    <mergeCell ref="B176:C176"/>
    <mergeCell ref="B177:C177"/>
    <mergeCell ref="B178:C178"/>
    <mergeCell ref="B179:C179"/>
    <mergeCell ref="B182:C182"/>
    <mergeCell ref="A183:C183"/>
    <mergeCell ref="A168:D168"/>
    <mergeCell ref="A169:B169"/>
    <mergeCell ref="A172:C172"/>
    <mergeCell ref="A173:D173"/>
    <mergeCell ref="A174:D174"/>
    <mergeCell ref="A175:D175"/>
    <mergeCell ref="A155:D155"/>
    <mergeCell ref="A156:B156"/>
    <mergeCell ref="A157:A164"/>
    <mergeCell ref="A165:B165"/>
    <mergeCell ref="A166:D166"/>
    <mergeCell ref="A167:B167"/>
    <mergeCell ref="A138:B138"/>
    <mergeCell ref="A139:D139"/>
    <mergeCell ref="A140:A144"/>
    <mergeCell ref="A145:B145"/>
    <mergeCell ref="A146:D146"/>
    <mergeCell ref="A154:B154"/>
    <mergeCell ref="A123:B123"/>
    <mergeCell ref="A124:B124"/>
    <mergeCell ref="A126:B126"/>
    <mergeCell ref="A127:D127"/>
    <mergeCell ref="A128:D128"/>
    <mergeCell ref="A129:D129"/>
    <mergeCell ref="A112:D112"/>
    <mergeCell ref="A116:B116"/>
    <mergeCell ref="A117:D117"/>
    <mergeCell ref="A118:B118"/>
    <mergeCell ref="A121:C121"/>
    <mergeCell ref="A122:B122"/>
    <mergeCell ref="A84:D84"/>
    <mergeCell ref="A85:D85"/>
    <mergeCell ref="A86:D86"/>
    <mergeCell ref="A99:B99"/>
    <mergeCell ref="A100:D100"/>
    <mergeCell ref="A111:B111"/>
    <mergeCell ref="A63:B63"/>
    <mergeCell ref="A64:D64"/>
    <mergeCell ref="A77:C77"/>
    <mergeCell ref="A78:D78"/>
    <mergeCell ref="A79:B79"/>
    <mergeCell ref="A83:C83"/>
    <mergeCell ref="A1:D1"/>
    <mergeCell ref="A2:B2"/>
    <mergeCell ref="C2:D2"/>
    <mergeCell ref="A3:B3"/>
    <mergeCell ref="C3:D3"/>
    <mergeCell ref="A4:D4"/>
    <mergeCell ref="C17:D17"/>
    <mergeCell ref="A18:D18"/>
    <mergeCell ref="B19:C19"/>
    <mergeCell ref="C11:D11"/>
    <mergeCell ref="C12:D12"/>
    <mergeCell ref="A13:D13"/>
    <mergeCell ref="A14:D14"/>
    <mergeCell ref="A15:D15"/>
    <mergeCell ref="C16:D16"/>
    <mergeCell ref="A213:D213"/>
    <mergeCell ref="B180:C180"/>
    <mergeCell ref="B181:C181"/>
    <mergeCell ref="A5:D5"/>
    <mergeCell ref="C6:D6"/>
    <mergeCell ref="C7:D7"/>
    <mergeCell ref="C8:D8"/>
    <mergeCell ref="C9:D9"/>
    <mergeCell ref="C10:D10"/>
    <mergeCell ref="B20:C20"/>
    <mergeCell ref="B21:C21"/>
    <mergeCell ref="B22:C22"/>
    <mergeCell ref="A45:B45"/>
    <mergeCell ref="A46:D46"/>
    <mergeCell ref="A47:D47"/>
    <mergeCell ref="A48:D48"/>
    <mergeCell ref="A52:B52"/>
    <mergeCell ref="A53:D53"/>
    <mergeCell ref="A23:D23"/>
    <mergeCell ref="A24:D24"/>
    <mergeCell ref="A25:D25"/>
    <mergeCell ref="B26:C26"/>
    <mergeCell ref="A39:C39"/>
    <mergeCell ref="A40:D40"/>
  </mergeCells>
  <pageMargins left="0.51181102362204722" right="0.51181102362204722" top="0.78740157480314965" bottom="0.78740157480314965" header="0.31496062992125984" footer="0.31496062992125984"/>
  <pageSetup scale="68"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87F0D-3695-4B46-96A4-DF661F501105}">
  <sheetPr>
    <pageSetUpPr fitToPage="1"/>
  </sheetPr>
  <dimension ref="A1:D215"/>
  <sheetViews>
    <sheetView view="pageBreakPreview" zoomScale="85" zoomScaleNormal="85" zoomScaleSheetLayoutView="85" workbookViewId="0">
      <selection activeCell="C113" sqref="C113"/>
    </sheetView>
  </sheetViews>
  <sheetFormatPr defaultColWidth="9.140625" defaultRowHeight="15" customHeight="1" outlineLevelRow="3" x14ac:dyDescent="0.25"/>
  <cols>
    <col min="1" max="1" width="16.7109375" style="19" customWidth="1"/>
    <col min="2" max="2" width="76.85546875" style="19" customWidth="1"/>
    <col min="3" max="3" width="22.85546875" style="19" customWidth="1"/>
    <col min="4" max="4" width="23.5703125" style="19" customWidth="1"/>
    <col min="5" max="16384" width="9.140625" style="19"/>
  </cols>
  <sheetData>
    <row r="1" spans="1:4" ht="15.75" x14ac:dyDescent="0.25">
      <c r="A1" s="544" t="s">
        <v>6</v>
      </c>
      <c r="B1" s="544"/>
      <c r="C1" s="544"/>
      <c r="D1" s="544"/>
    </row>
    <row r="2" spans="1:4" ht="15.75" x14ac:dyDescent="0.25">
      <c r="A2" s="545" t="s">
        <v>12</v>
      </c>
      <c r="B2" s="545"/>
      <c r="C2" s="546"/>
      <c r="D2" s="547"/>
    </row>
    <row r="3" spans="1:4" ht="15.75" x14ac:dyDescent="0.25">
      <c r="A3" s="545" t="s">
        <v>13</v>
      </c>
      <c r="B3" s="545"/>
      <c r="C3" s="546" t="s">
        <v>448</v>
      </c>
      <c r="D3" s="547"/>
    </row>
    <row r="4" spans="1:4" ht="15.75" x14ac:dyDescent="0.25">
      <c r="A4" s="517"/>
      <c r="B4" s="517"/>
      <c r="C4" s="517"/>
      <c r="D4" s="517"/>
    </row>
    <row r="5" spans="1:4" ht="15.75" x14ac:dyDescent="0.25">
      <c r="A5" s="517" t="s">
        <v>14</v>
      </c>
      <c r="B5" s="517"/>
      <c r="C5" s="517"/>
      <c r="D5" s="517"/>
    </row>
    <row r="6" spans="1:4" ht="15.75" x14ac:dyDescent="0.25">
      <c r="A6" s="266" t="s">
        <v>15</v>
      </c>
      <c r="B6" s="267" t="s">
        <v>5</v>
      </c>
      <c r="C6" s="518" t="s">
        <v>143</v>
      </c>
      <c r="D6" s="519"/>
    </row>
    <row r="7" spans="1:4" ht="15.75" x14ac:dyDescent="0.25">
      <c r="A7" s="266" t="s">
        <v>16</v>
      </c>
      <c r="B7" s="267" t="s">
        <v>4</v>
      </c>
      <c r="C7" s="520" t="s">
        <v>436</v>
      </c>
      <c r="D7" s="520"/>
    </row>
    <row r="8" spans="1:4" ht="15.75" x14ac:dyDescent="0.25">
      <c r="A8" s="23" t="s">
        <v>17</v>
      </c>
      <c r="B8" s="24" t="s">
        <v>18</v>
      </c>
      <c r="C8" s="521" t="s">
        <v>435</v>
      </c>
      <c r="D8" s="522"/>
    </row>
    <row r="9" spans="1:4" ht="15.75" x14ac:dyDescent="0.25">
      <c r="A9" s="266" t="s">
        <v>19</v>
      </c>
      <c r="B9" s="267" t="s">
        <v>20</v>
      </c>
      <c r="C9" s="523" t="s">
        <v>21</v>
      </c>
      <c r="D9" s="524"/>
    </row>
    <row r="10" spans="1:4" ht="15.75" x14ac:dyDescent="0.25">
      <c r="A10" s="266" t="s">
        <v>22</v>
      </c>
      <c r="B10" s="267" t="s">
        <v>23</v>
      </c>
      <c r="C10" s="523" t="s">
        <v>429</v>
      </c>
      <c r="D10" s="524"/>
    </row>
    <row r="11" spans="1:4" ht="15.75" x14ac:dyDescent="0.25">
      <c r="A11" s="266" t="s">
        <v>24</v>
      </c>
      <c r="B11" s="267" t="s">
        <v>249</v>
      </c>
      <c r="C11" s="550">
        <f>Resumo!F6</f>
        <v>3000</v>
      </c>
      <c r="D11" s="551"/>
    </row>
    <row r="12" spans="1:4" ht="15.75" x14ac:dyDescent="0.25">
      <c r="A12" s="266" t="s">
        <v>25</v>
      </c>
      <c r="B12" s="267" t="s">
        <v>26</v>
      </c>
      <c r="C12" s="552">
        <f>Resumo!I5</f>
        <v>12</v>
      </c>
      <c r="D12" s="539"/>
    </row>
    <row r="13" spans="1:4" ht="15.75" x14ac:dyDescent="0.25">
      <c r="A13" s="553"/>
      <c r="B13" s="554"/>
      <c r="C13" s="554"/>
      <c r="D13" s="554"/>
    </row>
    <row r="14" spans="1:4" ht="15.75" x14ac:dyDescent="0.25">
      <c r="A14" s="555" t="s">
        <v>27</v>
      </c>
      <c r="B14" s="556"/>
      <c r="C14" s="556"/>
      <c r="D14" s="557"/>
    </row>
    <row r="15" spans="1:4" ht="15.75" x14ac:dyDescent="0.25">
      <c r="A15" s="520" t="s">
        <v>28</v>
      </c>
      <c r="B15" s="520"/>
      <c r="C15" s="520"/>
      <c r="D15" s="520"/>
    </row>
    <row r="16" spans="1:4" ht="15.75" x14ac:dyDescent="0.25">
      <c r="A16" s="266">
        <v>1</v>
      </c>
      <c r="B16" s="267" t="s">
        <v>29</v>
      </c>
      <c r="C16" s="523" t="s">
        <v>271</v>
      </c>
      <c r="D16" s="524" t="s">
        <v>0</v>
      </c>
    </row>
    <row r="17" spans="1:4" ht="15.75" x14ac:dyDescent="0.25">
      <c r="A17" s="266">
        <v>2</v>
      </c>
      <c r="B17" s="25" t="s">
        <v>30</v>
      </c>
      <c r="C17" s="548" t="s">
        <v>270</v>
      </c>
      <c r="D17" s="549"/>
    </row>
    <row r="18" spans="1:4" ht="15.75" x14ac:dyDescent="0.25">
      <c r="A18" s="520" t="s">
        <v>31</v>
      </c>
      <c r="B18" s="520"/>
      <c r="C18" s="520"/>
      <c r="D18" s="520"/>
    </row>
    <row r="19" spans="1:4" ht="15.75" x14ac:dyDescent="0.3">
      <c r="A19" s="266">
        <v>3</v>
      </c>
      <c r="B19" s="525" t="s">
        <v>3</v>
      </c>
      <c r="C19" s="526"/>
      <c r="D19" s="97">
        <v>1240</v>
      </c>
    </row>
    <row r="20" spans="1:4" ht="15.75" x14ac:dyDescent="0.3">
      <c r="A20" s="266">
        <v>4</v>
      </c>
      <c r="B20" s="525" t="s">
        <v>250</v>
      </c>
      <c r="C20" s="526"/>
      <c r="D20" s="153">
        <v>220</v>
      </c>
    </row>
    <row r="21" spans="1:4" ht="15.75" x14ac:dyDescent="0.25">
      <c r="A21" s="266">
        <v>5</v>
      </c>
      <c r="B21" s="525" t="s">
        <v>32</v>
      </c>
      <c r="C21" s="526"/>
      <c r="D21" s="66" t="s">
        <v>272</v>
      </c>
    </row>
    <row r="22" spans="1:4" ht="15.75" x14ac:dyDescent="0.25">
      <c r="A22" s="266">
        <v>6</v>
      </c>
      <c r="B22" s="525" t="s">
        <v>2</v>
      </c>
      <c r="C22" s="526"/>
      <c r="D22" s="67">
        <v>44562</v>
      </c>
    </row>
    <row r="23" spans="1:4" ht="15.75" x14ac:dyDescent="0.25">
      <c r="A23" s="523"/>
      <c r="B23" s="535"/>
      <c r="C23" s="535"/>
      <c r="D23" s="524"/>
    </row>
    <row r="24" spans="1:4" ht="15.75" x14ac:dyDescent="0.25">
      <c r="A24" s="536" t="s">
        <v>33</v>
      </c>
      <c r="B24" s="536"/>
      <c r="C24" s="536"/>
      <c r="D24" s="536"/>
    </row>
    <row r="25" spans="1:4" ht="15.75" x14ac:dyDescent="0.25">
      <c r="A25" s="537"/>
      <c r="B25" s="538"/>
      <c r="C25" s="538"/>
      <c r="D25" s="539"/>
    </row>
    <row r="26" spans="1:4" ht="15.75" x14ac:dyDescent="0.25">
      <c r="A26" s="268">
        <v>1</v>
      </c>
      <c r="B26" s="540" t="s">
        <v>34</v>
      </c>
      <c r="C26" s="541"/>
      <c r="D26" s="268" t="s">
        <v>35</v>
      </c>
    </row>
    <row r="27" spans="1:4" ht="15.75" hidden="1" outlineLevel="1" x14ac:dyDescent="0.25">
      <c r="A27" s="266" t="s">
        <v>36</v>
      </c>
      <c r="B27" s="267" t="s">
        <v>144</v>
      </c>
      <c r="C27" s="64">
        <f>D20</f>
        <v>220</v>
      </c>
      <c r="D27" s="98">
        <f>D19</f>
        <v>1240</v>
      </c>
    </row>
    <row r="28" spans="1:4" ht="15.75" hidden="1" outlineLevel="1" x14ac:dyDescent="0.25">
      <c r="A28" s="266" t="s">
        <v>16</v>
      </c>
      <c r="B28" s="267" t="s">
        <v>145</v>
      </c>
      <c r="C28" s="26">
        <v>0</v>
      </c>
      <c r="D28" s="98">
        <f>C28*D27</f>
        <v>0</v>
      </c>
    </row>
    <row r="29" spans="1:4" ht="15.75" hidden="1" outlineLevel="1" x14ac:dyDescent="0.25">
      <c r="A29" s="266" t="s">
        <v>17</v>
      </c>
      <c r="B29" s="267" t="s">
        <v>38</v>
      </c>
      <c r="C29" s="26">
        <v>0.2</v>
      </c>
      <c r="D29" s="98">
        <f>C29*D27</f>
        <v>248</v>
      </c>
    </row>
    <row r="30" spans="1:4" ht="15.75" hidden="1" outlineLevel="1" x14ac:dyDescent="0.25">
      <c r="A30" s="266" t="s">
        <v>19</v>
      </c>
      <c r="B30" s="267" t="s">
        <v>146</v>
      </c>
      <c r="C30" s="154">
        <v>0</v>
      </c>
      <c r="D30" s="99">
        <f>SUM(D31:D32)</f>
        <v>0</v>
      </c>
    </row>
    <row r="31" spans="1:4" ht="15.75" hidden="1" outlineLevel="2" x14ac:dyDescent="0.25">
      <c r="A31" s="71" t="s">
        <v>111</v>
      </c>
      <c r="B31" s="267" t="s">
        <v>147</v>
      </c>
      <c r="C31" s="72">
        <v>0.2</v>
      </c>
      <c r="D31" s="99">
        <f>(SUM(D27:D29)/C27)*C31*15*C30</f>
        <v>0</v>
      </c>
    </row>
    <row r="32" spans="1:4" ht="15.75" hidden="1" outlineLevel="2" x14ac:dyDescent="0.25">
      <c r="A32" s="71" t="s">
        <v>112</v>
      </c>
      <c r="B32" s="267" t="s">
        <v>148</v>
      </c>
      <c r="C32" s="73">
        <f>C30*(60/52.5)/8</f>
        <v>0</v>
      </c>
      <c r="D32" s="99">
        <f>(SUM(D27:D29)/C27)*(C31)*15*C32</f>
        <v>0</v>
      </c>
    </row>
    <row r="33" spans="1:4" ht="15.75" hidden="1" outlineLevel="1" collapsed="1" x14ac:dyDescent="0.25">
      <c r="A33" s="169" t="s">
        <v>22</v>
      </c>
      <c r="B33" s="167" t="s">
        <v>149</v>
      </c>
      <c r="C33" s="74" t="s">
        <v>150</v>
      </c>
      <c r="D33" s="1">
        <f>SUM(D34:D37)</f>
        <v>0</v>
      </c>
    </row>
    <row r="34" spans="1:4" ht="15.75" hidden="1" outlineLevel="2" x14ac:dyDescent="0.25">
      <c r="A34" s="75" t="s">
        <v>151</v>
      </c>
      <c r="B34" s="168" t="s">
        <v>152</v>
      </c>
      <c r="C34" s="76">
        <v>0</v>
      </c>
      <c r="D34" s="100">
        <f>(SUM($D$27:$D$29)/$C$27)*C34*1.5</f>
        <v>0</v>
      </c>
    </row>
    <row r="35" spans="1:4" ht="15.75" hidden="1" outlineLevel="2" x14ac:dyDescent="0.25">
      <c r="A35" s="75" t="s">
        <v>153</v>
      </c>
      <c r="B35" s="77" t="s">
        <v>154</v>
      </c>
      <c r="C35" s="79">
        <v>0</v>
      </c>
      <c r="D35" s="100">
        <f>(SUM($D$27:$D$29)/$C$27)*C35*((60/52.5)*1.2*1.5)</f>
        <v>0</v>
      </c>
    </row>
    <row r="36" spans="1:4" ht="15.75" hidden="1" outlineLevel="2" x14ac:dyDescent="0.25">
      <c r="A36" s="75" t="s">
        <v>155</v>
      </c>
      <c r="B36" s="168" t="s">
        <v>156</v>
      </c>
      <c r="C36" s="79">
        <f>C34*0.1429</f>
        <v>0</v>
      </c>
      <c r="D36" s="100">
        <f>(SUM($D$27:$D$29)/$C$27)*C36*2</f>
        <v>0</v>
      </c>
    </row>
    <row r="37" spans="1:4" ht="15.75" hidden="1" outlineLevel="2" x14ac:dyDescent="0.25">
      <c r="A37" s="75" t="s">
        <v>157</v>
      </c>
      <c r="B37" s="168" t="s">
        <v>158</v>
      </c>
      <c r="C37" s="79">
        <f>C34*0.1429</f>
        <v>0</v>
      </c>
      <c r="D37" s="100">
        <f>(SUM($D$27:$D$29)/$C$27)*C37*((60/52.5)*1.2*2)</f>
        <v>0</v>
      </c>
    </row>
    <row r="38" spans="1:4" ht="15.75" hidden="1" outlineLevel="1" collapsed="1" x14ac:dyDescent="0.25">
      <c r="A38" s="266" t="s">
        <v>24</v>
      </c>
      <c r="B38" s="54" t="s">
        <v>39</v>
      </c>
      <c r="C38" s="55">
        <v>0</v>
      </c>
      <c r="D38" s="101">
        <v>0</v>
      </c>
    </row>
    <row r="39" spans="1:4" ht="15.75" collapsed="1" x14ac:dyDescent="0.25">
      <c r="A39" s="540" t="s">
        <v>40</v>
      </c>
      <c r="B39" s="542"/>
      <c r="C39" s="541"/>
      <c r="D39" s="102">
        <f>SUM(D27:D30,D33,D38)</f>
        <v>1488</v>
      </c>
    </row>
    <row r="40" spans="1:4" ht="15.75" x14ac:dyDescent="0.25">
      <c r="A40" s="543"/>
      <c r="B40" s="543"/>
      <c r="C40" s="543"/>
      <c r="D40" s="543"/>
    </row>
    <row r="41" spans="1:4" ht="15.75" hidden="1" outlineLevel="1" x14ac:dyDescent="0.25">
      <c r="A41" s="80" t="s">
        <v>159</v>
      </c>
      <c r="B41" s="103" t="s">
        <v>160</v>
      </c>
      <c r="C41" s="104" t="s">
        <v>161</v>
      </c>
      <c r="D41" s="104" t="s">
        <v>35</v>
      </c>
    </row>
    <row r="42" spans="1:4" ht="15.75" hidden="1" outlineLevel="1" x14ac:dyDescent="0.25">
      <c r="A42" s="269" t="s">
        <v>36</v>
      </c>
      <c r="B42" s="25" t="s">
        <v>162</v>
      </c>
      <c r="C42" s="81">
        <v>0</v>
      </c>
      <c r="D42" s="105">
        <f>(SUM(D27)/$C$27)*C42*1.5</f>
        <v>0</v>
      </c>
    </row>
    <row r="43" spans="1:4" ht="15.75" hidden="1" outlineLevel="1" x14ac:dyDescent="0.25">
      <c r="A43" s="106" t="s">
        <v>17</v>
      </c>
      <c r="B43" s="107" t="s">
        <v>163</v>
      </c>
      <c r="C43" s="108">
        <v>0</v>
      </c>
      <c r="D43" s="98">
        <f>C43*177</f>
        <v>0</v>
      </c>
    </row>
    <row r="44" spans="1:4" ht="15.75" hidden="1" outlineLevel="1" x14ac:dyDescent="0.25">
      <c r="A44" s="266" t="s">
        <v>19</v>
      </c>
      <c r="B44" s="54" t="s">
        <v>39</v>
      </c>
      <c r="C44" s="55">
        <v>0</v>
      </c>
      <c r="D44" s="101">
        <v>0</v>
      </c>
    </row>
    <row r="45" spans="1:4" ht="15.75" collapsed="1" x14ac:dyDescent="0.25">
      <c r="A45" s="527" t="s">
        <v>164</v>
      </c>
      <c r="B45" s="528"/>
      <c r="C45" s="28">
        <f>D45/D39</f>
        <v>0</v>
      </c>
      <c r="D45" s="109">
        <f>SUM(D42:D43)</f>
        <v>0</v>
      </c>
    </row>
    <row r="46" spans="1:4" ht="15.75" x14ac:dyDescent="0.25">
      <c r="A46" s="529"/>
      <c r="B46" s="530"/>
      <c r="C46" s="530"/>
      <c r="D46" s="531"/>
    </row>
    <row r="47" spans="1:4" ht="15.75" x14ac:dyDescent="0.25">
      <c r="A47" s="532" t="s">
        <v>41</v>
      </c>
      <c r="B47" s="533"/>
      <c r="C47" s="533"/>
      <c r="D47" s="534"/>
    </row>
    <row r="48" spans="1:4" ht="15.75" hidden="1" outlineLevel="1" x14ac:dyDescent="0.25">
      <c r="A48" s="529"/>
      <c r="B48" s="530"/>
      <c r="C48" s="530"/>
      <c r="D48" s="531"/>
    </row>
    <row r="49" spans="1:4" ht="15.75" hidden="1" outlineLevel="1" x14ac:dyDescent="0.25">
      <c r="A49" s="104" t="s">
        <v>42</v>
      </c>
      <c r="B49" s="103" t="s">
        <v>43</v>
      </c>
      <c r="C49" s="104" t="s">
        <v>44</v>
      </c>
      <c r="D49" s="104" t="s">
        <v>35</v>
      </c>
    </row>
    <row r="50" spans="1:4" ht="15.75" hidden="1" outlineLevel="2" x14ac:dyDescent="0.25">
      <c r="A50" s="106" t="s">
        <v>36</v>
      </c>
      <c r="B50" s="107" t="s">
        <v>45</v>
      </c>
      <c r="C50" s="27">
        <f>1/12</f>
        <v>8.3299999999999999E-2</v>
      </c>
      <c r="D50" s="98">
        <f>C50*D39</f>
        <v>123.95</v>
      </c>
    </row>
    <row r="51" spans="1:4" ht="15.75" hidden="1" outlineLevel="2" x14ac:dyDescent="0.25">
      <c r="A51" s="106" t="s">
        <v>16</v>
      </c>
      <c r="B51" s="107" t="s">
        <v>113</v>
      </c>
      <c r="C51" s="27">
        <f>IF(C12&gt;60,(1/C12/3)*5,IF(C12&gt;48,(1/C12/3)*4,IF(C12&gt;36,(1/C12/3)*3,IF(C12&gt;24,(1/C12/3)*2,IF(C12&gt;12,(1/C12/3)*1,0)))))</f>
        <v>0</v>
      </c>
      <c r="D51" s="98">
        <f>C51*D39</f>
        <v>0</v>
      </c>
    </row>
    <row r="52" spans="1:4" ht="15.75" hidden="1" outlineLevel="1" x14ac:dyDescent="0.25">
      <c r="A52" s="527" t="s">
        <v>11</v>
      </c>
      <c r="B52" s="528"/>
      <c r="C52" s="28">
        <f>SUM(C50:C51)</f>
        <v>8.3299999999999999E-2</v>
      </c>
      <c r="D52" s="109">
        <f>SUM(D50:D51)</f>
        <v>123.95</v>
      </c>
    </row>
    <row r="53" spans="1:4" ht="15.75" hidden="1" outlineLevel="1" x14ac:dyDescent="0.25">
      <c r="A53" s="529"/>
      <c r="B53" s="530"/>
      <c r="C53" s="530"/>
      <c r="D53" s="531"/>
    </row>
    <row r="54" spans="1:4" ht="15.75" hidden="1" outlineLevel="1" x14ac:dyDescent="0.25">
      <c r="A54" s="104" t="s">
        <v>46</v>
      </c>
      <c r="B54" s="110" t="s">
        <v>47</v>
      </c>
      <c r="C54" s="104" t="s">
        <v>44</v>
      </c>
      <c r="D54" s="111" t="s">
        <v>35</v>
      </c>
    </row>
    <row r="55" spans="1:4" ht="15.75" hidden="1" outlineLevel="2" x14ac:dyDescent="0.25">
      <c r="A55" s="269" t="s">
        <v>36</v>
      </c>
      <c r="B55" s="29" t="s">
        <v>48</v>
      </c>
      <c r="C55" s="30">
        <v>0.2</v>
      </c>
      <c r="D55" s="98">
        <f t="shared" ref="D55:D62" si="0">C55*($D$39+$D$52)</f>
        <v>322.39</v>
      </c>
    </row>
    <row r="56" spans="1:4" ht="15.75" hidden="1" outlineLevel="2" x14ac:dyDescent="0.25">
      <c r="A56" s="269" t="s">
        <v>16</v>
      </c>
      <c r="B56" s="29" t="s">
        <v>49</v>
      </c>
      <c r="C56" s="30">
        <v>2.5000000000000001E-2</v>
      </c>
      <c r="D56" s="98">
        <f t="shared" si="0"/>
        <v>40.299999999999997</v>
      </c>
    </row>
    <row r="57" spans="1:4" ht="15.75" hidden="1" outlineLevel="2" x14ac:dyDescent="0.25">
      <c r="A57" s="269" t="s">
        <v>17</v>
      </c>
      <c r="B57" s="29" t="s">
        <v>165</v>
      </c>
      <c r="C57" s="59">
        <v>0.03</v>
      </c>
      <c r="D57" s="98">
        <f t="shared" si="0"/>
        <v>48.36</v>
      </c>
    </row>
    <row r="58" spans="1:4" ht="15.75" hidden="1" outlineLevel="2" x14ac:dyDescent="0.25">
      <c r="A58" s="269" t="s">
        <v>19</v>
      </c>
      <c r="B58" s="29" t="s">
        <v>166</v>
      </c>
      <c r="C58" s="30">
        <v>1.4999999999999999E-2</v>
      </c>
      <c r="D58" s="98">
        <f t="shared" si="0"/>
        <v>24.18</v>
      </c>
    </row>
    <row r="59" spans="1:4" ht="15.75" hidden="1" outlineLevel="2" x14ac:dyDescent="0.25">
      <c r="A59" s="269" t="s">
        <v>22</v>
      </c>
      <c r="B59" s="29" t="s">
        <v>167</v>
      </c>
      <c r="C59" s="30">
        <v>0.01</v>
      </c>
      <c r="D59" s="98">
        <f t="shared" si="0"/>
        <v>16.12</v>
      </c>
    </row>
    <row r="60" spans="1:4" ht="15.75" hidden="1" outlineLevel="2" x14ac:dyDescent="0.25">
      <c r="A60" s="269" t="s">
        <v>24</v>
      </c>
      <c r="B60" s="29" t="s">
        <v>50</v>
      </c>
      <c r="C60" s="30">
        <v>6.0000000000000001E-3</v>
      </c>
      <c r="D60" s="98">
        <f t="shared" si="0"/>
        <v>9.67</v>
      </c>
    </row>
    <row r="61" spans="1:4" ht="15.75" hidden="1" outlineLevel="2" x14ac:dyDescent="0.25">
      <c r="A61" s="269" t="s">
        <v>25</v>
      </c>
      <c r="B61" s="29" t="s">
        <v>51</v>
      </c>
      <c r="C61" s="30">
        <v>2E-3</v>
      </c>
      <c r="D61" s="98">
        <f t="shared" si="0"/>
        <v>3.22</v>
      </c>
    </row>
    <row r="62" spans="1:4" ht="15.75" hidden="1" outlineLevel="2" x14ac:dyDescent="0.25">
      <c r="A62" s="269" t="s">
        <v>52</v>
      </c>
      <c r="B62" s="29" t="s">
        <v>53</v>
      </c>
      <c r="C62" s="30">
        <v>0.08</v>
      </c>
      <c r="D62" s="98">
        <f t="shared" si="0"/>
        <v>128.96</v>
      </c>
    </row>
    <row r="63" spans="1:4" ht="15.75" hidden="1" outlineLevel="1" x14ac:dyDescent="0.25">
      <c r="A63" s="527" t="s">
        <v>11</v>
      </c>
      <c r="B63" s="528"/>
      <c r="C63" s="31">
        <f>SUM(C55:C62)</f>
        <v>0.36799999999999999</v>
      </c>
      <c r="D63" s="112">
        <f>SUM(D55:D62)</f>
        <v>593.20000000000005</v>
      </c>
    </row>
    <row r="64" spans="1:4" ht="15.75" hidden="1" outlineLevel="1" x14ac:dyDescent="0.25">
      <c r="A64" s="529"/>
      <c r="B64" s="530"/>
      <c r="C64" s="530"/>
      <c r="D64" s="531"/>
    </row>
    <row r="65" spans="1:4" ht="15.75" hidden="1" outlineLevel="1" x14ac:dyDescent="0.25">
      <c r="A65" s="104" t="s">
        <v>54</v>
      </c>
      <c r="B65" s="110" t="s">
        <v>55</v>
      </c>
      <c r="C65" s="104" t="s">
        <v>56</v>
      </c>
      <c r="D65" s="104" t="s">
        <v>35</v>
      </c>
    </row>
    <row r="66" spans="1:4" ht="15.75" hidden="1" outlineLevel="2" x14ac:dyDescent="0.25">
      <c r="A66" s="269" t="s">
        <v>36</v>
      </c>
      <c r="B66" s="29" t="s">
        <v>57</v>
      </c>
      <c r="C66" s="113">
        <v>5.6</v>
      </c>
      <c r="D66" s="114">
        <f>IF(D67+D68&gt;0,(D67+D68),0)</f>
        <v>160.80000000000001</v>
      </c>
    </row>
    <row r="67" spans="1:4" ht="15.75" hidden="1" outlineLevel="3" x14ac:dyDescent="0.25">
      <c r="A67" s="115" t="s">
        <v>110</v>
      </c>
      <c r="B67" s="29" t="s">
        <v>168</v>
      </c>
      <c r="C67" s="116">
        <v>21</v>
      </c>
      <c r="D67" s="117">
        <f>C66*C67*2</f>
        <v>235.2</v>
      </c>
    </row>
    <row r="68" spans="1:4" ht="15.75" hidden="1" outlineLevel="3" x14ac:dyDescent="0.25">
      <c r="A68" s="115" t="s">
        <v>114</v>
      </c>
      <c r="B68" s="29" t="s">
        <v>169</v>
      </c>
      <c r="C68" s="118">
        <v>0.06</v>
      </c>
      <c r="D68" s="117">
        <f>-D27*C68</f>
        <v>-74.400000000000006</v>
      </c>
    </row>
    <row r="69" spans="1:4" ht="15.75" hidden="1" outlineLevel="2" x14ac:dyDescent="0.25">
      <c r="A69" s="269" t="s">
        <v>16</v>
      </c>
      <c r="B69" s="29" t="s">
        <v>58</v>
      </c>
      <c r="C69" s="119">
        <v>19.5</v>
      </c>
      <c r="D69" s="114">
        <f>D70+D71</f>
        <v>331.69</v>
      </c>
    </row>
    <row r="70" spans="1:4" ht="15.75" hidden="1" outlineLevel="3" x14ac:dyDescent="0.25">
      <c r="A70" s="115" t="s">
        <v>90</v>
      </c>
      <c r="B70" s="29" t="s">
        <v>170</v>
      </c>
      <c r="C70" s="116">
        <v>21</v>
      </c>
      <c r="D70" s="117">
        <f>C69*C70</f>
        <v>409.5</v>
      </c>
    </row>
    <row r="71" spans="1:4" ht="15.75" hidden="1" outlineLevel="3" x14ac:dyDescent="0.25">
      <c r="A71" s="115" t="s">
        <v>115</v>
      </c>
      <c r="B71" s="29" t="s">
        <v>91</v>
      </c>
      <c r="C71" s="120">
        <v>-0.19</v>
      </c>
      <c r="D71" s="117">
        <f>D70*C71</f>
        <v>-77.81</v>
      </c>
    </row>
    <row r="72" spans="1:4" ht="15.75" hidden="1" outlineLevel="2" x14ac:dyDescent="0.25">
      <c r="A72" s="269" t="s">
        <v>17</v>
      </c>
      <c r="B72" s="68" t="s">
        <v>286</v>
      </c>
      <c r="C72" s="123">
        <v>17.32</v>
      </c>
      <c r="D72" s="122">
        <f>C72</f>
        <v>17.32</v>
      </c>
    </row>
    <row r="73" spans="1:4" ht="15.75" hidden="1" outlineLevel="2" x14ac:dyDescent="0.25">
      <c r="A73" s="269" t="s">
        <v>19</v>
      </c>
      <c r="B73" s="69" t="s">
        <v>288</v>
      </c>
      <c r="C73" s="123">
        <f>140*3</f>
        <v>420</v>
      </c>
      <c r="D73" s="122">
        <f>C73*C152</f>
        <v>0.84</v>
      </c>
    </row>
    <row r="74" spans="1:4" ht="15.75" hidden="1" outlineLevel="2" x14ac:dyDescent="0.25">
      <c r="A74" s="269" t="s">
        <v>22</v>
      </c>
      <c r="B74" s="68" t="s">
        <v>287</v>
      </c>
      <c r="C74" s="123">
        <v>21</v>
      </c>
      <c r="D74" s="122">
        <f>C74</f>
        <v>21</v>
      </c>
    </row>
    <row r="75" spans="1:4" ht="15.75" hidden="1" outlineLevel="2" x14ac:dyDescent="0.25">
      <c r="A75" s="269" t="s">
        <v>24</v>
      </c>
      <c r="B75" s="68" t="s">
        <v>39</v>
      </c>
      <c r="C75" s="121">
        <v>0</v>
      </c>
      <c r="D75" s="122">
        <f>C75*D39</f>
        <v>0</v>
      </c>
    </row>
    <row r="76" spans="1:4" ht="15.75" hidden="1" outlineLevel="2" x14ac:dyDescent="0.25">
      <c r="A76" s="269" t="s">
        <v>25</v>
      </c>
      <c r="B76" s="68" t="s">
        <v>39</v>
      </c>
      <c r="C76" s="123">
        <v>0</v>
      </c>
      <c r="D76" s="124">
        <f>C76</f>
        <v>0</v>
      </c>
    </row>
    <row r="77" spans="1:4" ht="15.75" hidden="1" outlineLevel="1" x14ac:dyDescent="0.25">
      <c r="A77" s="527" t="s">
        <v>59</v>
      </c>
      <c r="B77" s="564"/>
      <c r="C77" s="528"/>
      <c r="D77" s="109">
        <f>SUM(D66,D69,D72:D76)</f>
        <v>531.65</v>
      </c>
    </row>
    <row r="78" spans="1:4" ht="15.75" hidden="1" outlineLevel="1" x14ac:dyDescent="0.25">
      <c r="A78" s="529"/>
      <c r="B78" s="530"/>
      <c r="C78" s="530"/>
      <c r="D78" s="531"/>
    </row>
    <row r="79" spans="1:4" ht="15.75" hidden="1" outlineLevel="1" x14ac:dyDescent="0.25">
      <c r="A79" s="565" t="s">
        <v>60</v>
      </c>
      <c r="B79" s="566"/>
      <c r="C79" s="104" t="s">
        <v>44</v>
      </c>
      <c r="D79" s="104" t="s">
        <v>35</v>
      </c>
    </row>
    <row r="80" spans="1:4" ht="15.75" hidden="1" outlineLevel="1" x14ac:dyDescent="0.25">
      <c r="A80" s="269" t="s">
        <v>61</v>
      </c>
      <c r="B80" s="29" t="s">
        <v>43</v>
      </c>
      <c r="C80" s="32">
        <f>C52</f>
        <v>8.3299999999999999E-2</v>
      </c>
      <c r="D80" s="98">
        <f>D52</f>
        <v>123.95</v>
      </c>
    </row>
    <row r="81" spans="1:4" ht="15.75" hidden="1" outlineLevel="1" x14ac:dyDescent="0.25">
      <c r="A81" s="269" t="s">
        <v>46</v>
      </c>
      <c r="B81" s="29" t="s">
        <v>47</v>
      </c>
      <c r="C81" s="32">
        <f>C63</f>
        <v>0.36799999999999999</v>
      </c>
      <c r="D81" s="98">
        <f>D63</f>
        <v>593.20000000000005</v>
      </c>
    </row>
    <row r="82" spans="1:4" ht="15.75" hidden="1" outlineLevel="1" x14ac:dyDescent="0.25">
      <c r="A82" s="269" t="s">
        <v>62</v>
      </c>
      <c r="B82" s="29" t="s">
        <v>55</v>
      </c>
      <c r="C82" s="32">
        <f>D77/D39</f>
        <v>0.35730000000000001</v>
      </c>
      <c r="D82" s="98">
        <f>D77</f>
        <v>531.65</v>
      </c>
    </row>
    <row r="83" spans="1:4" ht="15.75" collapsed="1" x14ac:dyDescent="0.25">
      <c r="A83" s="527" t="s">
        <v>11</v>
      </c>
      <c r="B83" s="564"/>
      <c r="C83" s="528"/>
      <c r="D83" s="109">
        <f>SUM(D80:D82)</f>
        <v>1248.8</v>
      </c>
    </row>
    <row r="84" spans="1:4" ht="15.75" x14ac:dyDescent="0.25">
      <c r="A84" s="529"/>
      <c r="B84" s="530"/>
      <c r="C84" s="530"/>
      <c r="D84" s="531"/>
    </row>
    <row r="85" spans="1:4" ht="15.75" x14ac:dyDescent="0.25">
      <c r="A85" s="558" t="s">
        <v>171</v>
      </c>
      <c r="B85" s="559"/>
      <c r="C85" s="559"/>
      <c r="D85" s="560"/>
    </row>
    <row r="86" spans="1:4" ht="15.75" hidden="1" outlineLevel="1" x14ac:dyDescent="0.25">
      <c r="A86" s="529"/>
      <c r="B86" s="530"/>
      <c r="C86" s="530"/>
      <c r="D86" s="531"/>
    </row>
    <row r="87" spans="1:4" ht="15.75" hidden="1" outlineLevel="1" x14ac:dyDescent="0.25">
      <c r="A87" s="268" t="s">
        <v>172</v>
      </c>
      <c r="B87" s="103" t="s">
        <v>173</v>
      </c>
      <c r="C87" s="104" t="s">
        <v>44</v>
      </c>
      <c r="D87" s="104" t="s">
        <v>35</v>
      </c>
    </row>
    <row r="88" spans="1:4" ht="15.75" hidden="1" outlineLevel="2" x14ac:dyDescent="0.25">
      <c r="A88" s="33" t="s">
        <v>36</v>
      </c>
      <c r="B88" s="34" t="s">
        <v>174</v>
      </c>
      <c r="C88" s="33" t="s">
        <v>150</v>
      </c>
      <c r="D88" s="125">
        <f>IF(C99&gt;1,SUM(D89:D92)*2,SUM(D89:D92))</f>
        <v>1906.23</v>
      </c>
    </row>
    <row r="89" spans="1:4" ht="15.75" hidden="1" outlineLevel="3" x14ac:dyDescent="0.25">
      <c r="A89" s="35" t="s">
        <v>175</v>
      </c>
      <c r="B89" s="36" t="s">
        <v>176</v>
      </c>
      <c r="C89" s="33">
        <f>(IF(C12&gt;60,45,IF(C12&gt;48,42,IF(C12&gt;36,39,IF(C12&gt;24,36,IF(C12&gt;12,33,30)))))/30)</f>
        <v>1</v>
      </c>
      <c r="D89" s="125">
        <f>D39*C89</f>
        <v>1488</v>
      </c>
    </row>
    <row r="90" spans="1:4" ht="15.75" hidden="1" outlineLevel="3" x14ac:dyDescent="0.25">
      <c r="A90" s="35" t="s">
        <v>177</v>
      </c>
      <c r="B90" s="36" t="s">
        <v>178</v>
      </c>
      <c r="C90" s="27">
        <f>1/12</f>
        <v>8.3299999999999999E-2</v>
      </c>
      <c r="D90" s="125">
        <f>C90*D89</f>
        <v>123.95</v>
      </c>
    </row>
    <row r="91" spans="1:4" ht="15.75" hidden="1" outlineLevel="3" x14ac:dyDescent="0.25">
      <c r="A91" s="35" t="s">
        <v>179</v>
      </c>
      <c r="B91" s="36" t="s">
        <v>180</v>
      </c>
      <c r="C91" s="27">
        <f>(1/12)+(1/12/3)</f>
        <v>0.1111</v>
      </c>
      <c r="D91" s="126">
        <f>C91*D89</f>
        <v>165.32</v>
      </c>
    </row>
    <row r="92" spans="1:4" ht="15.75" hidden="1" outlineLevel="3" x14ac:dyDescent="0.25">
      <c r="A92" s="35" t="s">
        <v>181</v>
      </c>
      <c r="B92" s="36" t="s">
        <v>182</v>
      </c>
      <c r="C92" s="37">
        <v>0.08</v>
      </c>
      <c r="D92" s="125">
        <f>SUM(D89:D90)*C92</f>
        <v>128.96</v>
      </c>
    </row>
    <row r="93" spans="1:4" ht="15.75" hidden="1" outlineLevel="2" x14ac:dyDescent="0.25">
      <c r="A93" s="33" t="s">
        <v>16</v>
      </c>
      <c r="B93" s="34" t="s">
        <v>183</v>
      </c>
      <c r="C93" s="38">
        <v>0.4</v>
      </c>
      <c r="D93" s="125">
        <f>C93*D94</f>
        <v>619.01</v>
      </c>
    </row>
    <row r="94" spans="1:4" ht="15.75" hidden="1" outlineLevel="3" x14ac:dyDescent="0.25">
      <c r="A94" s="33" t="s">
        <v>184</v>
      </c>
      <c r="B94" s="34" t="s">
        <v>185</v>
      </c>
      <c r="C94" s="38">
        <f>C62</f>
        <v>0.08</v>
      </c>
      <c r="D94" s="125">
        <f>C94*D95</f>
        <v>1547.52</v>
      </c>
    </row>
    <row r="95" spans="1:4" ht="15.75" hidden="1" outlineLevel="3" x14ac:dyDescent="0.25">
      <c r="A95" s="33" t="s">
        <v>186</v>
      </c>
      <c r="B95" s="39" t="s">
        <v>116</v>
      </c>
      <c r="C95" s="40" t="s">
        <v>150</v>
      </c>
      <c r="D95" s="126">
        <f>SUM(D96:D98)</f>
        <v>19344</v>
      </c>
    </row>
    <row r="96" spans="1:4" ht="15.75" hidden="1" outlineLevel="3" x14ac:dyDescent="0.25">
      <c r="A96" s="35" t="s">
        <v>187</v>
      </c>
      <c r="B96" s="36" t="s">
        <v>188</v>
      </c>
      <c r="C96" s="41">
        <f>C12-C98</f>
        <v>12</v>
      </c>
      <c r="D96" s="125">
        <f>D39*C96</f>
        <v>17856</v>
      </c>
    </row>
    <row r="97" spans="1:4" ht="15.75" hidden="1" outlineLevel="3" x14ac:dyDescent="0.25">
      <c r="A97" s="35" t="s">
        <v>189</v>
      </c>
      <c r="B97" s="36" t="s">
        <v>190</v>
      </c>
      <c r="C97" s="42">
        <f>C12/12</f>
        <v>1</v>
      </c>
      <c r="D97" s="125">
        <f>D39*C97</f>
        <v>1488</v>
      </c>
    </row>
    <row r="98" spans="1:4" ht="15.75" hidden="1" outlineLevel="3" x14ac:dyDescent="0.25">
      <c r="A98" s="35" t="s">
        <v>191</v>
      </c>
      <c r="B98" s="36" t="s">
        <v>192</v>
      </c>
      <c r="C98" s="40">
        <f>IF(C12&gt;60,5,IF(C12&gt;48,4,IF(C12&gt;36,3,IF(C12&gt;24,2,IF(C12&gt;12,1,0)))))</f>
        <v>0</v>
      </c>
      <c r="D98" s="126">
        <f>D39*C98*1.33333333333333</f>
        <v>0</v>
      </c>
    </row>
    <row r="99" spans="1:4" ht="15.75" hidden="1" outlineLevel="1" x14ac:dyDescent="0.25">
      <c r="A99" s="527" t="s">
        <v>11</v>
      </c>
      <c r="B99" s="528"/>
      <c r="C99" s="60">
        <f>'ASG - Superintendencia (Int)'!C99</f>
        <v>0.94450000000000001</v>
      </c>
      <c r="D99" s="109">
        <f>IF(C99&gt;1,D88+D93,(D88+D93)*C99)</f>
        <v>2385.09</v>
      </c>
    </row>
    <row r="100" spans="1:4" ht="15.75" hidden="1" outlineLevel="1" x14ac:dyDescent="0.25">
      <c r="A100" s="561"/>
      <c r="B100" s="562"/>
      <c r="C100" s="562"/>
      <c r="D100" s="563"/>
    </row>
    <row r="101" spans="1:4" ht="15.75" hidden="1" outlineLevel="1" x14ac:dyDescent="0.25">
      <c r="A101" s="268" t="s">
        <v>193</v>
      </c>
      <c r="B101" s="103" t="s">
        <v>194</v>
      </c>
      <c r="C101" s="104" t="s">
        <v>44</v>
      </c>
      <c r="D101" s="104" t="s">
        <v>35</v>
      </c>
    </row>
    <row r="102" spans="1:4" ht="15.75" hidden="1" outlineLevel="2" x14ac:dyDescent="0.25">
      <c r="A102" s="33" t="s">
        <v>36</v>
      </c>
      <c r="B102" s="39" t="s">
        <v>195</v>
      </c>
      <c r="C102" s="43">
        <f>IF(C111&gt;1,(1/30*7)*2,(1/30*7))</f>
        <v>0.23330000000000001</v>
      </c>
      <c r="D102" s="126">
        <f>C102*SUM(D103:D107)</f>
        <v>677.06</v>
      </c>
    </row>
    <row r="103" spans="1:4" ht="15.75" hidden="1" outlineLevel="3" x14ac:dyDescent="0.25">
      <c r="A103" s="35" t="s">
        <v>175</v>
      </c>
      <c r="B103" s="36" t="s">
        <v>196</v>
      </c>
      <c r="C103" s="33">
        <v>1</v>
      </c>
      <c r="D103" s="125">
        <f>D39</f>
        <v>1488</v>
      </c>
    </row>
    <row r="104" spans="1:4" ht="15.75" hidden="1" outlineLevel="3" x14ac:dyDescent="0.25">
      <c r="A104" s="35" t="s">
        <v>177</v>
      </c>
      <c r="B104" s="36" t="s">
        <v>197</v>
      </c>
      <c r="C104" s="27">
        <f>1/12</f>
        <v>8.3299999999999999E-2</v>
      </c>
      <c r="D104" s="125">
        <f>C104*D103</f>
        <v>123.95</v>
      </c>
    </row>
    <row r="105" spans="1:4" ht="15.75" hidden="1" outlineLevel="3" x14ac:dyDescent="0.25">
      <c r="A105" s="35" t="s">
        <v>179</v>
      </c>
      <c r="B105" s="36" t="s">
        <v>198</v>
      </c>
      <c r="C105" s="27">
        <f>(1/12)+(1/12/3)</f>
        <v>0.1111</v>
      </c>
      <c r="D105" s="125">
        <f>C105*D103</f>
        <v>165.32</v>
      </c>
    </row>
    <row r="106" spans="1:4" ht="15.75" hidden="1" outlineLevel="3" x14ac:dyDescent="0.25">
      <c r="A106" s="35" t="s">
        <v>181</v>
      </c>
      <c r="B106" s="44" t="s">
        <v>63</v>
      </c>
      <c r="C106" s="45">
        <f>C63</f>
        <v>0.36799999999999999</v>
      </c>
      <c r="D106" s="126">
        <f>C106*(D103+D104)</f>
        <v>593.20000000000005</v>
      </c>
    </row>
    <row r="107" spans="1:4" ht="15.75" hidden="1" outlineLevel="3" x14ac:dyDescent="0.25">
      <c r="A107" s="35" t="s">
        <v>199</v>
      </c>
      <c r="B107" s="44" t="s">
        <v>200</v>
      </c>
      <c r="C107" s="46">
        <v>1</v>
      </c>
      <c r="D107" s="126">
        <f>D77</f>
        <v>531.65</v>
      </c>
    </row>
    <row r="108" spans="1:4" ht="15.75" hidden="1" outlineLevel="2" x14ac:dyDescent="0.25">
      <c r="A108" s="33" t="s">
        <v>16</v>
      </c>
      <c r="B108" s="34" t="s">
        <v>201</v>
      </c>
      <c r="C108" s="38">
        <v>0.4</v>
      </c>
      <c r="D108" s="125">
        <f>C108*D109</f>
        <v>619.01</v>
      </c>
    </row>
    <row r="109" spans="1:4" ht="15.75" hidden="1" outlineLevel="2" x14ac:dyDescent="0.25">
      <c r="A109" s="33" t="s">
        <v>184</v>
      </c>
      <c r="B109" s="34" t="s">
        <v>185</v>
      </c>
      <c r="C109" s="38">
        <f>C62</f>
        <v>0.08</v>
      </c>
      <c r="D109" s="125">
        <f>C109*D110</f>
        <v>1547.52</v>
      </c>
    </row>
    <row r="110" spans="1:4" ht="15.75" hidden="1" outlineLevel="2" x14ac:dyDescent="0.25">
      <c r="A110" s="33" t="s">
        <v>186</v>
      </c>
      <c r="B110" s="39" t="s">
        <v>116</v>
      </c>
      <c r="C110" s="40" t="s">
        <v>150</v>
      </c>
      <c r="D110" s="126">
        <f>D95</f>
        <v>19344</v>
      </c>
    </row>
    <row r="111" spans="1:4" ht="15.75" hidden="1" outlineLevel="1" x14ac:dyDescent="0.25">
      <c r="A111" s="527" t="s">
        <v>11</v>
      </c>
      <c r="B111" s="528"/>
      <c r="C111" s="60">
        <f>'ASG - Superintendencia (Int)'!C111</f>
        <v>5.5500000000000001E-2</v>
      </c>
      <c r="D111" s="109">
        <f>IF(C111&gt;1,D102+D108,(D102+D108)*C111)</f>
        <v>71.930000000000007</v>
      </c>
    </row>
    <row r="112" spans="1:4" ht="15.75" hidden="1" outlineLevel="1" x14ac:dyDescent="0.25">
      <c r="A112" s="561"/>
      <c r="B112" s="562"/>
      <c r="C112" s="562"/>
      <c r="D112" s="563"/>
    </row>
    <row r="113" spans="1:4" ht="15.75" hidden="1" outlineLevel="1" x14ac:dyDescent="0.25">
      <c r="A113" s="268" t="s">
        <v>202</v>
      </c>
      <c r="B113" s="103" t="s">
        <v>203</v>
      </c>
      <c r="C113" s="104" t="s">
        <v>44</v>
      </c>
      <c r="D113" s="104" t="s">
        <v>35</v>
      </c>
    </row>
    <row r="114" spans="1:4" ht="15.75" hidden="1" outlineLevel="2" x14ac:dyDescent="0.25">
      <c r="A114" s="269" t="s">
        <v>36</v>
      </c>
      <c r="B114" s="29" t="s">
        <v>204</v>
      </c>
      <c r="C114" s="32">
        <f>IF(C12&gt;60,(D39/12*(C12-60))/C12/D39,IF(C12&gt;48,(D39/12*(C12-48))/C12/D39,IF(C12&gt;36,(D39/12*(C12-36))/C12/D39,IF(C12&gt;24,(D39/12*(C12-24))/C12/D39,IF(C12&gt;12,((D39/12*(C12-12))/C12/D39),1/12)))))</f>
        <v>8.3299999999999999E-2</v>
      </c>
      <c r="D114" s="127">
        <f>C114*D39</f>
        <v>123.95</v>
      </c>
    </row>
    <row r="115" spans="1:4" ht="15.75" hidden="1" outlineLevel="2" x14ac:dyDescent="0.25">
      <c r="A115" s="269" t="s">
        <v>16</v>
      </c>
      <c r="B115" s="47" t="s">
        <v>205</v>
      </c>
      <c r="C115" s="32">
        <f>C114/3</f>
        <v>2.7799999999999998E-2</v>
      </c>
      <c r="D115" s="128">
        <f>C115*D39</f>
        <v>41.37</v>
      </c>
    </row>
    <row r="116" spans="1:4" ht="15.75" hidden="1" outlineLevel="1" x14ac:dyDescent="0.25">
      <c r="A116" s="527" t="s">
        <v>11</v>
      </c>
      <c r="B116" s="528"/>
      <c r="C116" s="28">
        <f>C114+C115</f>
        <v>0.1111</v>
      </c>
      <c r="D116" s="109">
        <f>SUM(D114:D115)</f>
        <v>165.32</v>
      </c>
    </row>
    <row r="117" spans="1:4" ht="15.75" hidden="1" outlineLevel="1" x14ac:dyDescent="0.25">
      <c r="A117" s="561"/>
      <c r="B117" s="562"/>
      <c r="C117" s="562"/>
      <c r="D117" s="563"/>
    </row>
    <row r="118" spans="1:4" ht="15.75" hidden="1" outlineLevel="1" x14ac:dyDescent="0.25">
      <c r="A118" s="565" t="s">
        <v>206</v>
      </c>
      <c r="B118" s="566"/>
      <c r="C118" s="104" t="s">
        <v>44</v>
      </c>
      <c r="D118" s="104" t="s">
        <v>35</v>
      </c>
    </row>
    <row r="119" spans="1:4" ht="15.75" hidden="1" outlineLevel="1" x14ac:dyDescent="0.25">
      <c r="A119" s="269" t="s">
        <v>172</v>
      </c>
      <c r="B119" s="29" t="s">
        <v>173</v>
      </c>
      <c r="C119" s="32">
        <f>C99</f>
        <v>0.94450000000000001</v>
      </c>
      <c r="D119" s="98">
        <f>D99</f>
        <v>2385.09</v>
      </c>
    </row>
    <row r="120" spans="1:4" ht="15.75" hidden="1" outlineLevel="1" x14ac:dyDescent="0.25">
      <c r="A120" s="106" t="s">
        <v>193</v>
      </c>
      <c r="B120" s="29" t="s">
        <v>194</v>
      </c>
      <c r="C120" s="48">
        <f>C111</f>
        <v>5.5500000000000001E-2</v>
      </c>
      <c r="D120" s="98">
        <f>D111</f>
        <v>71.930000000000007</v>
      </c>
    </row>
    <row r="121" spans="1:4" ht="15.75" hidden="1" outlineLevel="1" x14ac:dyDescent="0.25">
      <c r="A121" s="571" t="s">
        <v>207</v>
      </c>
      <c r="B121" s="571"/>
      <c r="C121" s="571"/>
      <c r="D121" s="129">
        <f>D119+D120</f>
        <v>2457.02</v>
      </c>
    </row>
    <row r="122" spans="1:4" ht="15.75" hidden="1" outlineLevel="1" x14ac:dyDescent="0.25">
      <c r="A122" s="567" t="s">
        <v>208</v>
      </c>
      <c r="B122" s="568"/>
      <c r="C122" s="61">
        <v>0.7</v>
      </c>
      <c r="D122" s="56">
        <f>C122*D121</f>
        <v>1719.91</v>
      </c>
    </row>
    <row r="123" spans="1:4" ht="15.75" hidden="1" outlineLevel="1" x14ac:dyDescent="0.25">
      <c r="A123" s="567" t="s">
        <v>209</v>
      </c>
      <c r="B123" s="568"/>
      <c r="C123" s="61">
        <v>0.01</v>
      </c>
      <c r="D123" s="56">
        <f>(D50+(D116/2))*-C123</f>
        <v>-2.0699999999999998</v>
      </c>
    </row>
    <row r="124" spans="1:4" ht="15.75" hidden="1" outlineLevel="1" x14ac:dyDescent="0.25">
      <c r="A124" s="569" t="s">
        <v>210</v>
      </c>
      <c r="B124" s="570"/>
      <c r="C124" s="65">
        <f>1/C12</f>
        <v>8.3299999999999999E-2</v>
      </c>
      <c r="D124" s="57">
        <f>(D122+D123)*C124</f>
        <v>143.1</v>
      </c>
    </row>
    <row r="125" spans="1:4" ht="15.75" hidden="1" outlineLevel="1" x14ac:dyDescent="0.25">
      <c r="A125" s="106" t="s">
        <v>202</v>
      </c>
      <c r="B125" s="29" t="s">
        <v>211</v>
      </c>
      <c r="C125" s="48"/>
      <c r="D125" s="117">
        <f>D116</f>
        <v>165.32</v>
      </c>
    </row>
    <row r="126" spans="1:4" ht="15.75" collapsed="1" x14ac:dyDescent="0.25">
      <c r="A126" s="527" t="s">
        <v>11</v>
      </c>
      <c r="B126" s="528"/>
      <c r="C126" s="28"/>
      <c r="D126" s="130">
        <f>D124+D125</f>
        <v>308.42</v>
      </c>
    </row>
    <row r="127" spans="1:4" ht="15.75" x14ac:dyDescent="0.25">
      <c r="A127" s="529"/>
      <c r="B127" s="530"/>
      <c r="C127" s="530"/>
      <c r="D127" s="531"/>
    </row>
    <row r="128" spans="1:4" ht="15.75" x14ac:dyDescent="0.25">
      <c r="A128" s="532" t="s">
        <v>64</v>
      </c>
      <c r="B128" s="533"/>
      <c r="C128" s="533"/>
      <c r="D128" s="534"/>
    </row>
    <row r="129" spans="1:4" ht="15.75" hidden="1" outlineLevel="1" x14ac:dyDescent="0.25">
      <c r="A129" s="561"/>
      <c r="B129" s="562"/>
      <c r="C129" s="562"/>
      <c r="D129" s="563"/>
    </row>
    <row r="130" spans="1:4" ht="15.75" hidden="1" outlineLevel="1" x14ac:dyDescent="0.25">
      <c r="A130" s="104" t="s">
        <v>65</v>
      </c>
      <c r="B130" s="110" t="s">
        <v>212</v>
      </c>
      <c r="C130" s="28" t="s">
        <v>44</v>
      </c>
      <c r="D130" s="104" t="s">
        <v>35</v>
      </c>
    </row>
    <row r="131" spans="1:4" ht="15.75" hidden="1" outlineLevel="2" x14ac:dyDescent="0.25">
      <c r="A131" s="131" t="s">
        <v>36</v>
      </c>
      <c r="B131" s="82" t="s">
        <v>66</v>
      </c>
      <c r="C131" s="49">
        <f>IF(C12&gt;60,5/C12,IF(C12&gt;48,4/C12,IF(C12&gt;36,3/C12,IF(C12&gt;24,2/C12,IF(C12&gt;12,1/C12,0)))))</f>
        <v>0</v>
      </c>
      <c r="D131" s="127">
        <f>SUM(D132:D136)</f>
        <v>0</v>
      </c>
    </row>
    <row r="132" spans="1:4" ht="15.75" hidden="1" outlineLevel="3" x14ac:dyDescent="0.25">
      <c r="A132" s="132" t="s">
        <v>213</v>
      </c>
      <c r="B132" s="83" t="s">
        <v>214</v>
      </c>
      <c r="C132" s="133">
        <f>D39</f>
        <v>1488</v>
      </c>
      <c r="D132" s="134">
        <f>$C$131*(D39)-($C$131*(D39)*C137/3)</f>
        <v>0</v>
      </c>
    </row>
    <row r="133" spans="1:4" ht="15.75" hidden="1" outlineLevel="3" x14ac:dyDescent="0.25">
      <c r="A133" s="132" t="s">
        <v>215</v>
      </c>
      <c r="B133" s="83" t="s">
        <v>216</v>
      </c>
      <c r="C133" s="133">
        <f>(D50)</f>
        <v>123.95</v>
      </c>
      <c r="D133" s="134">
        <f>$C$131*C133-($C$131*C133*C137/3)</f>
        <v>0</v>
      </c>
    </row>
    <row r="134" spans="1:4" ht="15.75" hidden="1" outlineLevel="3" x14ac:dyDescent="0.25">
      <c r="A134" s="132" t="s">
        <v>217</v>
      </c>
      <c r="B134" s="83" t="s">
        <v>218</v>
      </c>
      <c r="C134" s="135">
        <f>(D39/12)+(D51*IF(C12&gt;60,((C12-60)*(1/60))+1,IF(C12&gt;48,((C12-48)*(1/48))+1,IF(C12&gt;36,((C12-36)*(1/36))+1,IF(C12&gt;24,((C12-24)*(1/24))+1,IF(C12&gt;12,((C12-12)*(1/12))+1,1))))))</f>
        <v>124</v>
      </c>
      <c r="D134" s="134">
        <f>$C$131*C134-($C$131*C134*C137/3)</f>
        <v>0</v>
      </c>
    </row>
    <row r="135" spans="1:4" ht="15.75" hidden="1" outlineLevel="3" x14ac:dyDescent="0.25">
      <c r="A135" s="132" t="s">
        <v>219</v>
      </c>
      <c r="B135" s="83" t="s">
        <v>220</v>
      </c>
      <c r="C135" s="84">
        <f>C63</f>
        <v>0.36799999999999999</v>
      </c>
      <c r="D135" s="134">
        <f>SUM(D132:D134)*C131</f>
        <v>0</v>
      </c>
    </row>
    <row r="136" spans="1:4" ht="15.75" hidden="1" outlineLevel="3" x14ac:dyDescent="0.25">
      <c r="A136" s="132" t="s">
        <v>221</v>
      </c>
      <c r="B136" s="83" t="s">
        <v>222</v>
      </c>
      <c r="C136" s="135">
        <f>D124</f>
        <v>143.1</v>
      </c>
      <c r="D136" s="134">
        <f>C136*C131</f>
        <v>0</v>
      </c>
    </row>
    <row r="137" spans="1:4" ht="15.75" hidden="1" outlineLevel="2" x14ac:dyDescent="0.25">
      <c r="A137" s="269" t="s">
        <v>16</v>
      </c>
      <c r="B137" s="29" t="s">
        <v>223</v>
      </c>
      <c r="C137" s="85">
        <v>0</v>
      </c>
      <c r="D137" s="117">
        <f>$C$131*(D39)*(C137/3)</f>
        <v>0</v>
      </c>
    </row>
    <row r="138" spans="1:4" ht="15.75" hidden="1" outlineLevel="1" x14ac:dyDescent="0.25">
      <c r="A138" s="527" t="s">
        <v>224</v>
      </c>
      <c r="B138" s="528"/>
      <c r="C138" s="28">
        <f>C131+(D137/D39)</f>
        <v>0</v>
      </c>
      <c r="D138" s="109">
        <f>SUM(D131:D137)</f>
        <v>0</v>
      </c>
    </row>
    <row r="139" spans="1:4" ht="15.75" hidden="1" outlineLevel="1" x14ac:dyDescent="0.25">
      <c r="A139" s="561"/>
      <c r="B139" s="562"/>
      <c r="C139" s="562"/>
      <c r="D139" s="563"/>
    </row>
    <row r="140" spans="1:4" ht="15.75" hidden="1" outlineLevel="2" x14ac:dyDescent="0.25">
      <c r="A140" s="574" t="s">
        <v>225</v>
      </c>
      <c r="B140" s="136" t="s">
        <v>188</v>
      </c>
      <c r="C140" s="86">
        <v>220</v>
      </c>
      <c r="D140" s="137">
        <f>D39</f>
        <v>1488</v>
      </c>
    </row>
    <row r="141" spans="1:4" ht="15.75" hidden="1" outlineLevel="2" x14ac:dyDescent="0.25">
      <c r="A141" s="575"/>
      <c r="B141" s="136" t="s">
        <v>226</v>
      </c>
      <c r="C141" s="49">
        <f>(1+(1/3)+1)/12</f>
        <v>0.19439999999999999</v>
      </c>
      <c r="D141" s="138">
        <f>D140*C141</f>
        <v>289.27</v>
      </c>
    </row>
    <row r="142" spans="1:4" ht="15.75" hidden="1" outlineLevel="2" x14ac:dyDescent="0.25">
      <c r="A142" s="575"/>
      <c r="B142" s="136" t="s">
        <v>227</v>
      </c>
      <c r="C142" s="49">
        <f>C63</f>
        <v>0.36799999999999999</v>
      </c>
      <c r="D142" s="138">
        <f>(D140+D141)*C142</f>
        <v>654.04</v>
      </c>
    </row>
    <row r="143" spans="1:4" ht="15.75" hidden="1" outlineLevel="2" x14ac:dyDescent="0.25">
      <c r="A143" s="575"/>
      <c r="B143" s="136" t="s">
        <v>228</v>
      </c>
      <c r="C143" s="49">
        <f>D143/D140</f>
        <v>0.35730000000000001</v>
      </c>
      <c r="D143" s="138">
        <f>D77</f>
        <v>531.65</v>
      </c>
    </row>
    <row r="144" spans="1:4" ht="15.75" hidden="1" outlineLevel="2" x14ac:dyDescent="0.25">
      <c r="A144" s="576"/>
      <c r="B144" s="139" t="s">
        <v>229</v>
      </c>
      <c r="C144" s="49">
        <f>D144/D140</f>
        <v>9.6199999999999994E-2</v>
      </c>
      <c r="D144" s="138">
        <f>D124</f>
        <v>143.1</v>
      </c>
    </row>
    <row r="145" spans="1:4" ht="15.75" hidden="1" outlineLevel="2" x14ac:dyDescent="0.25">
      <c r="A145" s="577" t="s">
        <v>230</v>
      </c>
      <c r="B145" s="578"/>
      <c r="C145" s="87">
        <f>D145/D140</f>
        <v>2.0874000000000001</v>
      </c>
      <c r="D145" s="140">
        <f>SUM(D140:D144)</f>
        <v>3106.06</v>
      </c>
    </row>
    <row r="146" spans="1:4" ht="15.75" hidden="1" outlineLevel="2" x14ac:dyDescent="0.25">
      <c r="A146" s="579"/>
      <c r="B146" s="579"/>
      <c r="C146" s="579"/>
      <c r="D146" s="580"/>
    </row>
    <row r="147" spans="1:4" ht="15.75" hidden="1" outlineLevel="1" x14ac:dyDescent="0.25">
      <c r="A147" s="104" t="s">
        <v>231</v>
      </c>
      <c r="B147" s="110" t="s">
        <v>232</v>
      </c>
      <c r="C147" s="28" t="s">
        <v>44</v>
      </c>
      <c r="D147" s="104" t="s">
        <v>35</v>
      </c>
    </row>
    <row r="148" spans="1:4" ht="15.75" hidden="1" outlineLevel="2" x14ac:dyDescent="0.25">
      <c r="A148" s="269" t="s">
        <v>16</v>
      </c>
      <c r="B148" s="29" t="s">
        <v>118</v>
      </c>
      <c r="C148" s="70">
        <f>5/252</f>
        <v>1.9800000000000002E-2</v>
      </c>
      <c r="D148" s="127">
        <f>C148*$D$145</f>
        <v>61.5</v>
      </c>
    </row>
    <row r="149" spans="1:4" ht="15.75" hidden="1" outlineLevel="2" x14ac:dyDescent="0.25">
      <c r="A149" s="269" t="s">
        <v>17</v>
      </c>
      <c r="B149" s="29" t="s">
        <v>119</v>
      </c>
      <c r="C149" s="70">
        <f>1.383/252</f>
        <v>5.4999999999999997E-3</v>
      </c>
      <c r="D149" s="127">
        <f>C149*$D$145</f>
        <v>17.079999999999998</v>
      </c>
    </row>
    <row r="150" spans="1:4" ht="15.75" hidden="1" outlineLevel="2" x14ac:dyDescent="0.25">
      <c r="A150" s="269" t="s">
        <v>19</v>
      </c>
      <c r="B150" s="29" t="s">
        <v>117</v>
      </c>
      <c r="C150" s="70">
        <f>1.3892/252</f>
        <v>5.4999999999999997E-3</v>
      </c>
      <c r="D150" s="127">
        <f t="shared" ref="D150:D153" si="1">C150*$D$145</f>
        <v>17.079999999999998</v>
      </c>
    </row>
    <row r="151" spans="1:4" ht="15.75" hidden="1" outlineLevel="2" x14ac:dyDescent="0.25">
      <c r="A151" s="269" t="s">
        <v>22</v>
      </c>
      <c r="B151" s="29" t="s">
        <v>67</v>
      </c>
      <c r="C151" s="70">
        <f>0.65/252</f>
        <v>2.5999999999999999E-3</v>
      </c>
      <c r="D151" s="127">
        <f t="shared" si="1"/>
        <v>8.08</v>
      </c>
    </row>
    <row r="152" spans="1:4" ht="15.75" hidden="1" outlineLevel="2" x14ac:dyDescent="0.25">
      <c r="A152" s="269" t="s">
        <v>24</v>
      </c>
      <c r="B152" s="29" t="s">
        <v>68</v>
      </c>
      <c r="C152" s="70">
        <f>0.5052/252</f>
        <v>2E-3</v>
      </c>
      <c r="D152" s="127">
        <f t="shared" si="1"/>
        <v>6.21</v>
      </c>
    </row>
    <row r="153" spans="1:4" ht="15.75" hidden="1" outlineLevel="2" x14ac:dyDescent="0.25">
      <c r="A153" s="269" t="s">
        <v>36</v>
      </c>
      <c r="B153" s="58" t="s">
        <v>233</v>
      </c>
      <c r="C153" s="62">
        <f>0.2/252</f>
        <v>8.0000000000000004E-4</v>
      </c>
      <c r="D153" s="127">
        <f t="shared" si="1"/>
        <v>2.48</v>
      </c>
    </row>
    <row r="154" spans="1:4" ht="15.75" hidden="1" outlineLevel="1" x14ac:dyDescent="0.25">
      <c r="A154" s="527" t="s">
        <v>224</v>
      </c>
      <c r="B154" s="528"/>
      <c r="C154" s="28">
        <f>SUM(C148:C153)</f>
        <v>3.6200000000000003E-2</v>
      </c>
      <c r="D154" s="109">
        <f>SUM(D148:D153)</f>
        <v>112.43</v>
      </c>
    </row>
    <row r="155" spans="1:4" ht="15.75" hidden="1" outlineLevel="1" x14ac:dyDescent="0.25">
      <c r="A155" s="561"/>
      <c r="B155" s="562"/>
      <c r="C155" s="562"/>
      <c r="D155" s="563"/>
    </row>
    <row r="156" spans="1:4" ht="15.75" hidden="1" outlineLevel="1" x14ac:dyDescent="0.25">
      <c r="A156" s="565" t="s">
        <v>234</v>
      </c>
      <c r="B156" s="572"/>
      <c r="C156" s="28" t="s">
        <v>235</v>
      </c>
      <c r="D156" s="104" t="s">
        <v>35</v>
      </c>
    </row>
    <row r="157" spans="1:4" ht="15.75" hidden="1" outlineLevel="2" x14ac:dyDescent="0.3">
      <c r="A157" s="573" t="s">
        <v>236</v>
      </c>
      <c r="B157" s="136" t="s">
        <v>237</v>
      </c>
      <c r="C157" s="88">
        <f>C153</f>
        <v>8.0000000000000004E-4</v>
      </c>
      <c r="D157" s="141">
        <f>C157*-D140</f>
        <v>-1.19</v>
      </c>
    </row>
    <row r="158" spans="1:4" ht="15.75" hidden="1" outlineLevel="2" x14ac:dyDescent="0.3">
      <c r="A158" s="573"/>
      <c r="B158" s="142" t="s">
        <v>238</v>
      </c>
      <c r="C158" s="89">
        <v>0</v>
      </c>
      <c r="D158" s="143">
        <f>C158*-(D140/220/24*5)</f>
        <v>0</v>
      </c>
    </row>
    <row r="159" spans="1:4" ht="15.75" hidden="1" outlineLevel="2" x14ac:dyDescent="0.3">
      <c r="A159" s="573"/>
      <c r="B159" s="142" t="s">
        <v>239</v>
      </c>
      <c r="C159" s="89">
        <v>0</v>
      </c>
      <c r="D159" s="143">
        <f>C159*-D141</f>
        <v>0</v>
      </c>
    </row>
    <row r="160" spans="1:4" ht="15.75" hidden="1" outlineLevel="2" x14ac:dyDescent="0.3">
      <c r="A160" s="573"/>
      <c r="B160" s="136" t="s">
        <v>240</v>
      </c>
      <c r="C160" s="88">
        <f>C154</f>
        <v>3.6200000000000003E-2</v>
      </c>
      <c r="D160" s="141">
        <f>C160*-D66</f>
        <v>-5.82</v>
      </c>
    </row>
    <row r="161" spans="1:4" ht="15.75" hidden="1" outlineLevel="2" x14ac:dyDescent="0.3">
      <c r="A161" s="573"/>
      <c r="B161" s="136" t="s">
        <v>241</v>
      </c>
      <c r="C161" s="90">
        <f>C154</f>
        <v>3.6200000000000003E-2</v>
      </c>
      <c r="D161" s="144">
        <f>C161*-D69</f>
        <v>-12.01</v>
      </c>
    </row>
    <row r="162" spans="1:4" ht="15.75" hidden="1" outlineLevel="2" x14ac:dyDescent="0.3">
      <c r="A162" s="573"/>
      <c r="B162" s="139" t="s">
        <v>242</v>
      </c>
      <c r="C162" s="90">
        <f>C153</f>
        <v>8.0000000000000004E-4</v>
      </c>
      <c r="D162" s="144">
        <f>C162*-D74</f>
        <v>-0.02</v>
      </c>
    </row>
    <row r="163" spans="1:4" ht="15.75" hidden="1" outlineLevel="2" x14ac:dyDescent="0.25">
      <c r="A163" s="573"/>
      <c r="B163" s="139" t="s">
        <v>243</v>
      </c>
      <c r="C163" s="91">
        <f>C152</f>
        <v>2E-3</v>
      </c>
      <c r="D163" s="145">
        <f>C163*-SUM(D55:D61)</f>
        <v>-0.93</v>
      </c>
    </row>
    <row r="164" spans="1:4" ht="15.75" hidden="1" outlineLevel="2" x14ac:dyDescent="0.3">
      <c r="A164" s="573"/>
      <c r="B164" s="136" t="s">
        <v>244</v>
      </c>
      <c r="C164" s="88">
        <f>C153</f>
        <v>8.0000000000000004E-4</v>
      </c>
      <c r="D164" s="141">
        <f>C164*-D142</f>
        <v>-0.52</v>
      </c>
    </row>
    <row r="165" spans="1:4" ht="15.75" hidden="1" outlineLevel="1" x14ac:dyDescent="0.25">
      <c r="A165" s="527" t="s">
        <v>245</v>
      </c>
      <c r="B165" s="528"/>
      <c r="C165" s="28">
        <f>D165/D140</f>
        <v>-1.38E-2</v>
      </c>
      <c r="D165" s="109">
        <f>SUM(D157:D164)</f>
        <v>-20.49</v>
      </c>
    </row>
    <row r="166" spans="1:4" ht="15.75" hidden="1" outlineLevel="1" x14ac:dyDescent="0.25">
      <c r="A166" s="561"/>
      <c r="B166" s="562"/>
      <c r="C166" s="562"/>
      <c r="D166" s="563"/>
    </row>
    <row r="167" spans="1:4" ht="15.75" hidden="1" outlineLevel="1" x14ac:dyDescent="0.25">
      <c r="A167" s="527" t="s">
        <v>246</v>
      </c>
      <c r="B167" s="528"/>
      <c r="C167" s="28">
        <f>D167/D140</f>
        <v>6.1800000000000001E-2</v>
      </c>
      <c r="D167" s="109">
        <f>D154+D165</f>
        <v>91.94</v>
      </c>
    </row>
    <row r="168" spans="1:4" ht="15.75" hidden="1" outlineLevel="1" x14ac:dyDescent="0.25">
      <c r="A168" s="561"/>
      <c r="B168" s="562"/>
      <c r="C168" s="562"/>
      <c r="D168" s="563"/>
    </row>
    <row r="169" spans="1:4" ht="15.75" hidden="1" outlineLevel="1" x14ac:dyDescent="0.25">
      <c r="A169" s="565" t="s">
        <v>247</v>
      </c>
      <c r="B169" s="566"/>
      <c r="C169" s="104" t="s">
        <v>44</v>
      </c>
      <c r="D169" s="104" t="s">
        <v>35</v>
      </c>
    </row>
    <row r="170" spans="1:4" ht="15.75" hidden="1" outlineLevel="1" x14ac:dyDescent="0.25">
      <c r="A170" s="269" t="s">
        <v>65</v>
      </c>
      <c r="B170" s="29" t="s">
        <v>212</v>
      </c>
      <c r="C170" s="32"/>
      <c r="D170" s="146">
        <f>D138</f>
        <v>0</v>
      </c>
    </row>
    <row r="171" spans="1:4" ht="15.75" hidden="1" outlineLevel="1" x14ac:dyDescent="0.25">
      <c r="A171" s="269" t="s">
        <v>231</v>
      </c>
      <c r="B171" s="29" t="s">
        <v>232</v>
      </c>
      <c r="C171" s="32"/>
      <c r="D171" s="146">
        <f>D167</f>
        <v>91.94</v>
      </c>
    </row>
    <row r="172" spans="1:4" ht="15.75" collapsed="1" x14ac:dyDescent="0.25">
      <c r="A172" s="527" t="s">
        <v>11</v>
      </c>
      <c r="B172" s="564"/>
      <c r="C172" s="528"/>
      <c r="D172" s="147">
        <f>SUM(D170:D171)</f>
        <v>91.94</v>
      </c>
    </row>
    <row r="173" spans="1:4" ht="15.75" x14ac:dyDescent="0.25">
      <c r="A173" s="561"/>
      <c r="B173" s="562"/>
      <c r="C173" s="562"/>
      <c r="D173" s="563"/>
    </row>
    <row r="174" spans="1:4" ht="15.75" x14ac:dyDescent="0.25">
      <c r="A174" s="532" t="s">
        <v>69</v>
      </c>
      <c r="B174" s="533"/>
      <c r="C174" s="533"/>
      <c r="D174" s="534"/>
    </row>
    <row r="175" spans="1:4" ht="15.75" hidden="1" outlineLevel="1" x14ac:dyDescent="0.25">
      <c r="A175" s="561"/>
      <c r="B175" s="562"/>
      <c r="C175" s="562"/>
      <c r="D175" s="563"/>
    </row>
    <row r="176" spans="1:4" ht="15.75" hidden="1" outlineLevel="1" x14ac:dyDescent="0.25">
      <c r="A176" s="268">
        <v>5</v>
      </c>
      <c r="B176" s="527" t="s">
        <v>248</v>
      </c>
      <c r="C176" s="528"/>
      <c r="D176" s="104" t="s">
        <v>35</v>
      </c>
    </row>
    <row r="177" spans="1:4" ht="15.75" hidden="1" outlineLevel="1" x14ac:dyDescent="0.25">
      <c r="A177" s="269" t="s">
        <v>36</v>
      </c>
      <c r="B177" s="581" t="s">
        <v>324</v>
      </c>
      <c r="C177" s="582"/>
      <c r="D177" s="127">
        <f>INSUMOS!H12</f>
        <v>25.07</v>
      </c>
    </row>
    <row r="178" spans="1:4" ht="15.75" hidden="1" outlineLevel="1" x14ac:dyDescent="0.25">
      <c r="A178" s="269" t="s">
        <v>16</v>
      </c>
      <c r="B178" s="581" t="s">
        <v>341</v>
      </c>
      <c r="C178" s="582"/>
      <c r="D178" s="148">
        <f>INSUMOS!H22</f>
        <v>22.82</v>
      </c>
    </row>
    <row r="179" spans="1:4" ht="15.75" hidden="1" outlineLevel="1" x14ac:dyDescent="0.25">
      <c r="A179" s="269" t="s">
        <v>17</v>
      </c>
      <c r="B179" s="513" t="s">
        <v>315</v>
      </c>
      <c r="C179" s="514"/>
      <c r="D179" s="148">
        <f>MATERIAIS!F109</f>
        <v>221.3</v>
      </c>
    </row>
    <row r="180" spans="1:4" ht="15.75" hidden="1" outlineLevel="1" x14ac:dyDescent="0.25">
      <c r="A180" s="269" t="s">
        <v>19</v>
      </c>
      <c r="B180" s="513" t="s">
        <v>314</v>
      </c>
      <c r="C180" s="514"/>
      <c r="D180" s="148">
        <f>EQUIPAMENTOS!G111</f>
        <v>5.7</v>
      </c>
    </row>
    <row r="181" spans="1:4" ht="15.75" hidden="1" outlineLevel="1" x14ac:dyDescent="0.25">
      <c r="A181" s="269" t="s">
        <v>22</v>
      </c>
      <c r="B181" s="515" t="s">
        <v>39</v>
      </c>
      <c r="C181" s="516"/>
      <c r="D181" s="124">
        <v>0</v>
      </c>
    </row>
    <row r="182" spans="1:4" ht="15.75" hidden="1" outlineLevel="1" x14ac:dyDescent="0.25">
      <c r="A182" s="269" t="s">
        <v>24</v>
      </c>
      <c r="B182" s="515" t="s">
        <v>39</v>
      </c>
      <c r="C182" s="516"/>
      <c r="D182" s="124">
        <v>0</v>
      </c>
    </row>
    <row r="183" spans="1:4" ht="15.75" collapsed="1" x14ac:dyDescent="0.25">
      <c r="A183" s="527" t="s">
        <v>11</v>
      </c>
      <c r="B183" s="564"/>
      <c r="C183" s="528"/>
      <c r="D183" s="149">
        <f>SUM(D177:D181)</f>
        <v>274.89</v>
      </c>
    </row>
    <row r="184" spans="1:4" ht="15.75" x14ac:dyDescent="0.25">
      <c r="A184" s="529"/>
      <c r="B184" s="530"/>
      <c r="C184" s="530"/>
      <c r="D184" s="531"/>
    </row>
    <row r="185" spans="1:4" ht="15.75" x14ac:dyDescent="0.25">
      <c r="A185" s="587" t="s">
        <v>70</v>
      </c>
      <c r="B185" s="587"/>
      <c r="C185" s="587"/>
      <c r="D185" s="150">
        <f>D39+D83+D126+D172+D183</f>
        <v>3412.05</v>
      </c>
    </row>
    <row r="186" spans="1:4" ht="15.75" x14ac:dyDescent="0.25">
      <c r="A186" s="543"/>
      <c r="B186" s="543"/>
      <c r="C186" s="543"/>
      <c r="D186" s="543"/>
    </row>
    <row r="187" spans="1:4" ht="15.75" x14ac:dyDescent="0.25">
      <c r="A187" s="588" t="s">
        <v>71</v>
      </c>
      <c r="B187" s="588"/>
      <c r="C187" s="588"/>
      <c r="D187" s="588"/>
    </row>
    <row r="188" spans="1:4" ht="15.75" hidden="1" outlineLevel="1" x14ac:dyDescent="0.25">
      <c r="A188" s="589"/>
      <c r="B188" s="590"/>
      <c r="C188" s="590"/>
      <c r="D188" s="591"/>
    </row>
    <row r="189" spans="1:4" ht="15.75" hidden="1" outlineLevel="1" x14ac:dyDescent="0.25">
      <c r="A189" s="268">
        <v>6</v>
      </c>
      <c r="B189" s="110" t="s">
        <v>72</v>
      </c>
      <c r="C189" s="104" t="s">
        <v>44</v>
      </c>
      <c r="D189" s="104" t="s">
        <v>35</v>
      </c>
    </row>
    <row r="190" spans="1:4" ht="15.75" hidden="1" outlineLevel="1" x14ac:dyDescent="0.25">
      <c r="A190" s="269" t="s">
        <v>36</v>
      </c>
      <c r="B190" s="29" t="s">
        <v>73</v>
      </c>
      <c r="C190" s="63">
        <v>0.05</v>
      </c>
      <c r="D190" s="99">
        <f>C190*D185</f>
        <v>170.6</v>
      </c>
    </row>
    <row r="191" spans="1:4" ht="15.75" hidden="1" outlineLevel="1" x14ac:dyDescent="0.25">
      <c r="A191" s="583" t="s">
        <v>1</v>
      </c>
      <c r="B191" s="584"/>
      <c r="C191" s="586"/>
      <c r="D191" s="99">
        <f>D185+D190</f>
        <v>3582.65</v>
      </c>
    </row>
    <row r="192" spans="1:4" ht="15.75" hidden="1" outlineLevel="1" x14ac:dyDescent="0.25">
      <c r="A192" s="269" t="s">
        <v>16</v>
      </c>
      <c r="B192" s="29" t="s">
        <v>74</v>
      </c>
      <c r="C192" s="63">
        <v>0.05</v>
      </c>
      <c r="D192" s="99">
        <f>C192*D191</f>
        <v>179.13</v>
      </c>
    </row>
    <row r="193" spans="1:4" ht="15.75" hidden="1" outlineLevel="1" x14ac:dyDescent="0.25">
      <c r="A193" s="583" t="s">
        <v>1</v>
      </c>
      <c r="B193" s="584"/>
      <c r="C193" s="584"/>
      <c r="D193" s="99">
        <f>D192+D191</f>
        <v>3761.78</v>
      </c>
    </row>
    <row r="194" spans="1:4" ht="15.75" hidden="1" outlineLevel="1" x14ac:dyDescent="0.25">
      <c r="A194" s="269" t="s">
        <v>17</v>
      </c>
      <c r="B194" s="513" t="s">
        <v>75</v>
      </c>
      <c r="C194" s="585"/>
      <c r="D194" s="514"/>
    </row>
    <row r="195" spans="1:4" ht="15.75" hidden="1" outlineLevel="1" x14ac:dyDescent="0.25">
      <c r="A195" s="151"/>
      <c r="B195" s="267" t="s">
        <v>76</v>
      </c>
      <c r="C195" s="63">
        <v>6.4999999999999997E-3</v>
      </c>
      <c r="D195" s="99">
        <f>(D193/(1-C198)*C195)</f>
        <v>26.48</v>
      </c>
    </row>
    <row r="196" spans="1:4" ht="15.75" hidden="1" outlineLevel="1" x14ac:dyDescent="0.25">
      <c r="A196" s="151"/>
      <c r="B196" s="267" t="s">
        <v>77</v>
      </c>
      <c r="C196" s="63">
        <v>0.03</v>
      </c>
      <c r="D196" s="99">
        <f>(D193/(1-C198)*C196)</f>
        <v>122.2</v>
      </c>
    </row>
    <row r="197" spans="1:4" ht="15.75" hidden="1" outlineLevel="1" x14ac:dyDescent="0.25">
      <c r="A197" s="151"/>
      <c r="B197" s="267" t="s">
        <v>441</v>
      </c>
      <c r="C197" s="50">
        <v>0.04</v>
      </c>
      <c r="D197" s="99">
        <f>(D193/(1-C198)*C197)</f>
        <v>162.94</v>
      </c>
    </row>
    <row r="198" spans="1:4" ht="15.75" hidden="1" outlineLevel="1" x14ac:dyDescent="0.25">
      <c r="A198" s="583" t="s">
        <v>78</v>
      </c>
      <c r="B198" s="586"/>
      <c r="C198" s="51">
        <f>SUM(C195:C197)</f>
        <v>7.6499999999999999E-2</v>
      </c>
      <c r="D198" s="99">
        <f>SUM(D195:D197)</f>
        <v>311.62</v>
      </c>
    </row>
    <row r="199" spans="1:4" ht="15.75" collapsed="1" x14ac:dyDescent="0.25">
      <c r="A199" s="527" t="s">
        <v>11</v>
      </c>
      <c r="B199" s="528"/>
      <c r="C199" s="52">
        <f>(1+C190)*(1+C192)*(1/(1-C198))-1</f>
        <v>0.1938</v>
      </c>
      <c r="D199" s="102">
        <f>SUM(D198+D190+D192)</f>
        <v>661.35</v>
      </c>
    </row>
    <row r="200" spans="1:4" ht="15.75" x14ac:dyDescent="0.25">
      <c r="A200" s="529"/>
      <c r="B200" s="530"/>
      <c r="C200" s="530"/>
      <c r="D200" s="531"/>
    </row>
    <row r="201" spans="1:4" ht="15.75" x14ac:dyDescent="0.25">
      <c r="A201" s="540" t="s">
        <v>79</v>
      </c>
      <c r="B201" s="542"/>
      <c r="C201" s="541"/>
      <c r="D201" s="53" t="s">
        <v>35</v>
      </c>
    </row>
    <row r="202" spans="1:4" ht="15.75" x14ac:dyDescent="0.25">
      <c r="A202" s="525" t="s">
        <v>80</v>
      </c>
      <c r="B202" s="595"/>
      <c r="C202" s="595"/>
      <c r="D202" s="526"/>
    </row>
    <row r="203" spans="1:4" ht="15.75" x14ac:dyDescent="0.25">
      <c r="A203" s="266" t="s">
        <v>36</v>
      </c>
      <c r="B203" s="525" t="s">
        <v>81</v>
      </c>
      <c r="C203" s="526"/>
      <c r="D203" s="98">
        <f>D39</f>
        <v>1488</v>
      </c>
    </row>
    <row r="204" spans="1:4" ht="15.75" x14ac:dyDescent="0.25">
      <c r="A204" s="266" t="s">
        <v>16</v>
      </c>
      <c r="B204" s="525" t="s">
        <v>82</v>
      </c>
      <c r="C204" s="526"/>
      <c r="D204" s="98">
        <f>D83</f>
        <v>1248.8</v>
      </c>
    </row>
    <row r="205" spans="1:4" ht="15.75" x14ac:dyDescent="0.25">
      <c r="A205" s="266" t="s">
        <v>17</v>
      </c>
      <c r="B205" s="525" t="s">
        <v>83</v>
      </c>
      <c r="C205" s="526"/>
      <c r="D205" s="98">
        <f>D126</f>
        <v>308.42</v>
      </c>
    </row>
    <row r="206" spans="1:4" ht="15.75" x14ac:dyDescent="0.25">
      <c r="A206" s="266" t="s">
        <v>19</v>
      </c>
      <c r="B206" s="525" t="s">
        <v>84</v>
      </c>
      <c r="C206" s="526"/>
      <c r="D206" s="98">
        <f>D172</f>
        <v>91.94</v>
      </c>
    </row>
    <row r="207" spans="1:4" ht="15.75" x14ac:dyDescent="0.25">
      <c r="A207" s="266" t="s">
        <v>22</v>
      </c>
      <c r="B207" s="525" t="s">
        <v>85</v>
      </c>
      <c r="C207" s="526"/>
      <c r="D207" s="98">
        <f>D183</f>
        <v>274.89</v>
      </c>
    </row>
    <row r="208" spans="1:4" ht="15.75" x14ac:dyDescent="0.3">
      <c r="A208" s="592" t="s">
        <v>86</v>
      </c>
      <c r="B208" s="593"/>
      <c r="C208" s="594"/>
      <c r="D208" s="98">
        <f>SUM(D203:D207)</f>
        <v>3412.05</v>
      </c>
    </row>
    <row r="209" spans="1:4" ht="15.75" x14ac:dyDescent="0.25">
      <c r="A209" s="266" t="s">
        <v>87</v>
      </c>
      <c r="B209" s="525" t="s">
        <v>88</v>
      </c>
      <c r="C209" s="526"/>
      <c r="D209" s="98">
        <f>D199</f>
        <v>661.35</v>
      </c>
    </row>
    <row r="210" spans="1:4" ht="15.75" x14ac:dyDescent="0.25">
      <c r="A210" s="540" t="s">
        <v>89</v>
      </c>
      <c r="B210" s="542"/>
      <c r="C210" s="541"/>
      <c r="D210" s="152">
        <f xml:space="preserve"> D208+D209</f>
        <v>4073.4</v>
      </c>
    </row>
    <row r="211" spans="1:4" ht="15.75" x14ac:dyDescent="0.3">
      <c r="A211" s="22"/>
      <c r="B211" s="22"/>
      <c r="C211" s="22"/>
      <c r="D211" s="22"/>
    </row>
    <row r="212" spans="1:4" ht="16.5" thickBot="1" x14ac:dyDescent="0.35">
      <c r="A212" s="22"/>
      <c r="B212" s="22"/>
      <c r="C212" s="22"/>
      <c r="D212" s="22"/>
    </row>
    <row r="213" spans="1:4" ht="15.75" x14ac:dyDescent="0.25">
      <c r="A213" s="510" t="s">
        <v>274</v>
      </c>
      <c r="B213" s="511"/>
      <c r="C213" s="511"/>
      <c r="D213" s="512"/>
    </row>
    <row r="214" spans="1:4" ht="31.5" x14ac:dyDescent="0.25">
      <c r="A214" s="175" t="s">
        <v>275</v>
      </c>
      <c r="B214" s="176" t="s">
        <v>278</v>
      </c>
      <c r="C214" s="177" t="s">
        <v>276</v>
      </c>
      <c r="D214" s="178" t="s">
        <v>277</v>
      </c>
    </row>
    <row r="215" spans="1:4" ht="16.5" thickBot="1" x14ac:dyDescent="0.3">
      <c r="A215" s="179">
        <v>2</v>
      </c>
      <c r="B215" s="181">
        <f>1/(C11/A215)</f>
        <v>6.6666666670000001E-4</v>
      </c>
      <c r="C215" s="180">
        <f>D210</f>
        <v>4073.4</v>
      </c>
      <c r="D215" s="182">
        <f>C215*B215</f>
        <v>2.7155999999999998</v>
      </c>
    </row>
  </sheetData>
  <mergeCells count="108">
    <mergeCell ref="A5:D5"/>
    <mergeCell ref="C6:D6"/>
    <mergeCell ref="C7:D7"/>
    <mergeCell ref="C8:D8"/>
    <mergeCell ref="C9:D9"/>
    <mergeCell ref="C10:D10"/>
    <mergeCell ref="A1:D1"/>
    <mergeCell ref="A2:B2"/>
    <mergeCell ref="C2:D2"/>
    <mergeCell ref="A3:B3"/>
    <mergeCell ref="C3:D3"/>
    <mergeCell ref="A4:D4"/>
    <mergeCell ref="C17:D17"/>
    <mergeCell ref="A18:D18"/>
    <mergeCell ref="B19:C19"/>
    <mergeCell ref="B20:C20"/>
    <mergeCell ref="B21:C21"/>
    <mergeCell ref="B22:C22"/>
    <mergeCell ref="C11:D11"/>
    <mergeCell ref="C12:D12"/>
    <mergeCell ref="A13:D13"/>
    <mergeCell ref="A14:D14"/>
    <mergeCell ref="A15:D15"/>
    <mergeCell ref="C16:D16"/>
    <mergeCell ref="A45:B45"/>
    <mergeCell ref="A46:D46"/>
    <mergeCell ref="A47:D47"/>
    <mergeCell ref="A48:D48"/>
    <mergeCell ref="A52:B52"/>
    <mergeCell ref="A53:D53"/>
    <mergeCell ref="A23:D23"/>
    <mergeCell ref="A24:D24"/>
    <mergeCell ref="A25:D25"/>
    <mergeCell ref="B26:C26"/>
    <mergeCell ref="A39:C39"/>
    <mergeCell ref="A40:D40"/>
    <mergeCell ref="A84:D84"/>
    <mergeCell ref="A85:D85"/>
    <mergeCell ref="A86:D86"/>
    <mergeCell ref="A99:B99"/>
    <mergeCell ref="A100:D100"/>
    <mergeCell ref="A111:B111"/>
    <mergeCell ref="A63:B63"/>
    <mergeCell ref="A64:D64"/>
    <mergeCell ref="A77:C77"/>
    <mergeCell ref="A78:D78"/>
    <mergeCell ref="A79:B79"/>
    <mergeCell ref="A83:C83"/>
    <mergeCell ref="A123:B123"/>
    <mergeCell ref="A124:B124"/>
    <mergeCell ref="A126:B126"/>
    <mergeCell ref="A127:D127"/>
    <mergeCell ref="A128:D128"/>
    <mergeCell ref="A129:D129"/>
    <mergeCell ref="A112:D112"/>
    <mergeCell ref="A116:B116"/>
    <mergeCell ref="A117:D117"/>
    <mergeCell ref="A118:B118"/>
    <mergeCell ref="A121:C121"/>
    <mergeCell ref="A122:B122"/>
    <mergeCell ref="A155:D155"/>
    <mergeCell ref="A156:B156"/>
    <mergeCell ref="A157:A164"/>
    <mergeCell ref="A165:B165"/>
    <mergeCell ref="A166:D166"/>
    <mergeCell ref="A167:B167"/>
    <mergeCell ref="A138:B138"/>
    <mergeCell ref="A139:D139"/>
    <mergeCell ref="A140:A144"/>
    <mergeCell ref="A145:B145"/>
    <mergeCell ref="A146:D146"/>
    <mergeCell ref="A154:B154"/>
    <mergeCell ref="B176:C176"/>
    <mergeCell ref="B177:C177"/>
    <mergeCell ref="B178:C178"/>
    <mergeCell ref="B179:C179"/>
    <mergeCell ref="B180:C180"/>
    <mergeCell ref="B181:C181"/>
    <mergeCell ref="A168:D168"/>
    <mergeCell ref="A169:B169"/>
    <mergeCell ref="A172:C172"/>
    <mergeCell ref="A173:D173"/>
    <mergeCell ref="A174:D174"/>
    <mergeCell ref="A175:D175"/>
    <mergeCell ref="A188:D188"/>
    <mergeCell ref="A191:C191"/>
    <mergeCell ref="A193:C193"/>
    <mergeCell ref="B194:D194"/>
    <mergeCell ref="A198:B198"/>
    <mergeCell ref="A199:B199"/>
    <mergeCell ref="B182:C182"/>
    <mergeCell ref="A183:C183"/>
    <mergeCell ref="A184:D184"/>
    <mergeCell ref="A185:C185"/>
    <mergeCell ref="A186:D186"/>
    <mergeCell ref="A187:D187"/>
    <mergeCell ref="B206:C206"/>
    <mergeCell ref="B207:C207"/>
    <mergeCell ref="A208:C208"/>
    <mergeCell ref="B209:C209"/>
    <mergeCell ref="A210:C210"/>
    <mergeCell ref="A213:D213"/>
    <mergeCell ref="A200:D200"/>
    <mergeCell ref="A201:C201"/>
    <mergeCell ref="A202:D202"/>
    <mergeCell ref="B203:C203"/>
    <mergeCell ref="B204:C204"/>
    <mergeCell ref="B205:C205"/>
  </mergeCells>
  <pageMargins left="0.51181102362204722" right="0.51181102362204722" top="0.78740157480314965" bottom="0.78740157480314965" header="0.31496062992125984" footer="0.31496062992125984"/>
  <pageSetup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VALOR HR</vt:lpstr>
      <vt:lpstr>AJUSTE LANCE </vt:lpstr>
      <vt:lpstr>Resumo</vt:lpstr>
      <vt:lpstr>INSUMOS</vt:lpstr>
      <vt:lpstr>MATERIAIS</vt:lpstr>
      <vt:lpstr>EQUIPAMENTOS</vt:lpstr>
      <vt:lpstr>Planilha1</vt:lpstr>
      <vt:lpstr>ASG - Superintendencia (Int)</vt:lpstr>
      <vt:lpstr>ASG - Superintendencia (Ext)</vt:lpstr>
      <vt:lpstr>ASG - Posto Av</vt:lpstr>
      <vt:lpstr>ASG - DPF_PAC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Luan Lucio da Silva</cp:lastModifiedBy>
  <cp:lastPrinted>2022-11-08T13:31:14Z</cp:lastPrinted>
  <dcterms:created xsi:type="dcterms:W3CDTF">2020-03-24T19:39:58Z</dcterms:created>
  <dcterms:modified xsi:type="dcterms:W3CDTF">2022-11-24T14:17:53Z</dcterms:modified>
</cp:coreProperties>
</file>