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tabRatio="925" activeTab="16"/>
  </bookViews>
  <sheets>
    <sheet name="Proposta" sheetId="24" r:id="rId1"/>
    <sheet name="Consol GP 01" sheetId="58" r:id="rId2"/>
    <sheet name="GRUPO 01 Insal" sheetId="65" state="hidden" r:id="rId3"/>
    <sheet name="CAMPO VERDE" sheetId="72" r:id="rId4"/>
    <sheet name="CAMPO VERDE LAB" sheetId="75" r:id="rId5"/>
    <sheet name="CAMPO VERDE EXT" sheetId="76" r:id="rId6"/>
    <sheet name="CAMPO VERDE ESQ" sheetId="77" r:id="rId7"/>
    <sheet name="Consol GP 02" sheetId="66" r:id="rId8"/>
    <sheet name="JACIARA" sheetId="74" r:id="rId9"/>
    <sheet name="GRUPO 02 Insal" sheetId="63" state="hidden" r:id="rId10"/>
    <sheet name="GRUPO 03 Insal-" sheetId="59" state="hidden" r:id="rId11"/>
    <sheet name="JACIARA EXT" sheetId="78" r:id="rId12"/>
    <sheet name="Consol GP 03" sheetId="67" r:id="rId13"/>
    <sheet name="SAO VICENTE" sheetId="71" r:id="rId14"/>
    <sheet name="SAO VICENTE EXT" sheetId="79" r:id="rId15"/>
    <sheet name="SAO VICENTE ESQ" sheetId="80" r:id="rId16"/>
    <sheet name="Planilha1" sheetId="81" r:id="rId17"/>
    <sheet name="Unif. Serv" sheetId="6" r:id="rId18"/>
    <sheet name="Material" sheetId="56" state="hidden" r:id="rId19"/>
    <sheet name="Equipamentos" sheetId="57" state="hidden" r:id="rId20"/>
    <sheet name="Insumos" sheetId="20" state="hidden" r:id="rId21"/>
    <sheet name="Pessoal" sheetId="19" state="hidden" r:id="rId22"/>
    <sheet name="Comparativo" sheetId="15" state="hidden" r:id="rId23"/>
    <sheet name="Conta Vinculada" sheetId="22" state="hidden" r:id="rId24"/>
  </sheets>
  <externalReferences>
    <externalReference r:id="rId25"/>
    <externalReference r:id="rId26"/>
  </externalReferences>
  <definedNames>
    <definedName name="_xlnm.Print_Area" localSheetId="22">Comparativo!$A$1:$I$45</definedName>
    <definedName name="_xlnm.Print_Area" localSheetId="2">'GRUPO 01 Insal'!$A$1:$Q$133</definedName>
    <definedName name="_xlnm.Print_Area" localSheetId="9">'GRUPO 02 Insal'!$A$1:$Q$133</definedName>
    <definedName name="_xlnm.Print_Area" localSheetId="10">'GRUPO 03 Insal-'!$A$1:$Q$133</definedName>
    <definedName name="_xlnm.Print_Area" localSheetId="20">Insumos!$A$1:$E$76</definedName>
    <definedName name="_xlnm.Print_Area" localSheetId="17">'Unif. Serv'!$B$1:$E$10</definedName>
  </definedNames>
  <calcPr calcId="162913" fullPrecision="0"/>
</workbook>
</file>

<file path=xl/calcChain.xml><?xml version="1.0" encoding="utf-8"?>
<calcChain xmlns="http://schemas.openxmlformats.org/spreadsheetml/2006/main">
  <c r="Q12" i="81" l="1"/>
  <c r="R12" i="81"/>
  <c r="S12" i="81"/>
  <c r="Q13" i="81"/>
  <c r="R13" i="81"/>
  <c r="S13" i="81"/>
  <c r="R14" i="81"/>
  <c r="S14" i="81"/>
  <c r="R15" i="81"/>
  <c r="S15" i="81"/>
  <c r="Q16" i="81"/>
  <c r="R16" i="81"/>
  <c r="S16" i="81"/>
  <c r="Q17" i="81"/>
  <c r="R17" i="81"/>
  <c r="S17" i="81"/>
  <c r="Q18" i="81"/>
  <c r="R18" i="81"/>
  <c r="S18" i="81"/>
  <c r="Q19" i="81"/>
  <c r="R19" i="81"/>
  <c r="S19" i="81"/>
  <c r="Q20" i="81"/>
  <c r="R20" i="81"/>
  <c r="S20" i="81"/>
  <c r="Q21" i="81"/>
  <c r="R21" i="81"/>
  <c r="S21" i="81"/>
  <c r="Q22" i="81"/>
  <c r="R22" i="81"/>
  <c r="S22" i="81"/>
  <c r="Q23" i="81"/>
  <c r="R23" i="81"/>
  <c r="S23" i="81"/>
  <c r="Q24" i="81"/>
  <c r="R24" i="81"/>
  <c r="S24" i="81"/>
  <c r="R25" i="81"/>
  <c r="S25" i="81"/>
  <c r="Q26" i="81"/>
  <c r="R26" i="81"/>
  <c r="S26" i="81"/>
  <c r="Q27" i="81"/>
  <c r="R27" i="81"/>
  <c r="S27" i="81"/>
  <c r="Q28" i="81"/>
  <c r="R28" i="81"/>
  <c r="S28" i="81"/>
  <c r="Q29" i="81"/>
  <c r="R29" i="81"/>
  <c r="S29" i="81"/>
  <c r="Q30" i="81"/>
  <c r="R30" i="81"/>
  <c r="S30" i="81"/>
  <c r="Q31" i="81"/>
  <c r="R31" i="81"/>
  <c r="S31" i="81"/>
  <c r="Q32" i="81"/>
  <c r="R32" i="81"/>
  <c r="S32" i="81"/>
  <c r="Q33" i="81"/>
  <c r="R33" i="81"/>
  <c r="S33" i="81"/>
  <c r="Q34" i="81"/>
  <c r="R34" i="81"/>
  <c r="S34" i="81"/>
  <c r="Q35" i="81"/>
  <c r="R35" i="81"/>
  <c r="S35" i="81"/>
  <c r="Q36" i="81"/>
  <c r="R36" i="81"/>
  <c r="S36" i="81"/>
  <c r="Q37" i="81"/>
  <c r="R37" i="81"/>
  <c r="S37" i="81"/>
  <c r="Q38" i="81"/>
  <c r="R38" i="81"/>
  <c r="S38" i="81"/>
  <c r="R39" i="81"/>
  <c r="S39" i="81"/>
  <c r="R40" i="81"/>
  <c r="S40" i="81"/>
  <c r="Q41" i="81"/>
  <c r="R41" i="81"/>
  <c r="S41" i="81"/>
  <c r="R42" i="81"/>
  <c r="S42" i="81"/>
  <c r="R43" i="81"/>
  <c r="S43" i="81"/>
  <c r="Q44" i="81"/>
  <c r="R44" i="81"/>
  <c r="S44" i="81"/>
  <c r="Q45" i="81"/>
  <c r="R45" i="81"/>
  <c r="S45" i="81"/>
  <c r="Q46" i="81"/>
  <c r="S46" i="81"/>
  <c r="Q47" i="81"/>
  <c r="R47" i="81"/>
  <c r="S47" i="81"/>
  <c r="Q48" i="81"/>
  <c r="R48" i="81"/>
  <c r="S48" i="81"/>
  <c r="Q49" i="81"/>
  <c r="R49" i="81"/>
  <c r="S49" i="81"/>
  <c r="Q50" i="81"/>
  <c r="R50" i="81"/>
  <c r="S50" i="81"/>
  <c r="Q51" i="81"/>
  <c r="R51" i="81"/>
  <c r="S51" i="81"/>
  <c r="Q52" i="81"/>
  <c r="R52" i="81"/>
  <c r="S52" i="81"/>
  <c r="Q53" i="81"/>
  <c r="R53" i="81"/>
  <c r="S53" i="81"/>
  <c r="Q54" i="81"/>
  <c r="R54" i="81"/>
  <c r="S54" i="81"/>
  <c r="R55" i="81"/>
  <c r="S55" i="81"/>
  <c r="Q56" i="81"/>
  <c r="R56" i="81"/>
  <c r="S56" i="81"/>
  <c r="Q57" i="81"/>
  <c r="R57" i="81"/>
  <c r="S57" i="81"/>
  <c r="Q58" i="81"/>
  <c r="R58" i="81"/>
  <c r="S58" i="81"/>
  <c r="Q59" i="81"/>
  <c r="R59" i="81"/>
  <c r="S59" i="81"/>
  <c r="Q60" i="81"/>
  <c r="R60" i="81"/>
  <c r="S60" i="81"/>
  <c r="Q61" i="81"/>
  <c r="R61" i="81"/>
  <c r="S61" i="81"/>
  <c r="Q62" i="81"/>
  <c r="R62" i="81"/>
  <c r="S62" i="81"/>
  <c r="Q63" i="81"/>
  <c r="R63" i="81"/>
  <c r="S63" i="81"/>
  <c r="Q64" i="81"/>
  <c r="R64" i="81"/>
  <c r="S64" i="81"/>
  <c r="Q65" i="81"/>
  <c r="R65" i="81"/>
  <c r="S65" i="81"/>
  <c r="Q66" i="81"/>
  <c r="R66" i="81"/>
  <c r="S66" i="81"/>
  <c r="R67" i="81"/>
  <c r="S67" i="81"/>
  <c r="Q68" i="81"/>
  <c r="R68" i="81"/>
  <c r="S68" i="81"/>
  <c r="Q69" i="81"/>
  <c r="R69" i="81"/>
  <c r="S69" i="81"/>
  <c r="S11" i="81"/>
  <c r="S70" i="81" s="1"/>
  <c r="R11" i="81"/>
  <c r="R70" i="81" s="1"/>
  <c r="Q11" i="81"/>
  <c r="M61" i="81"/>
  <c r="O58" i="81"/>
  <c r="M54" i="81"/>
  <c r="O46" i="81"/>
  <c r="N46" i="81"/>
  <c r="R46" i="81" s="1"/>
  <c r="O45" i="81"/>
  <c r="M40" i="81"/>
  <c r="Q40" i="81" s="1"/>
  <c r="H6" i="81"/>
  <c r="M67" i="81" s="1"/>
  <c r="Q67" i="81" s="1"/>
  <c r="H5" i="81"/>
  <c r="H4" i="81"/>
  <c r="M39" i="81" l="1"/>
  <c r="Q39" i="81" s="1"/>
  <c r="M42" i="81"/>
  <c r="Q42" i="81" s="1"/>
  <c r="M43" i="81"/>
  <c r="Q43" i="81" s="1"/>
  <c r="M55" i="81"/>
  <c r="Q55" i="81" s="1"/>
  <c r="M14" i="81"/>
  <c r="Q14" i="81" s="1"/>
  <c r="Q70" i="81" s="1"/>
  <c r="M15" i="81"/>
  <c r="Q15" i="81" s="1"/>
  <c r="M25" i="81"/>
  <c r="Q25" i="81" s="1"/>
  <c r="R115" i="80"/>
  <c r="Q115" i="80"/>
  <c r="L115" i="80"/>
  <c r="T114" i="80"/>
  <c r="T115" i="80" s="1"/>
  <c r="S114" i="80"/>
  <c r="S115" i="80" s="1"/>
  <c r="R114" i="80"/>
  <c r="Q114" i="80"/>
  <c r="P114" i="80"/>
  <c r="P115" i="80" s="1"/>
  <c r="O114" i="80"/>
  <c r="O115" i="80" s="1"/>
  <c r="N114" i="80"/>
  <c r="N115" i="80" s="1"/>
  <c r="M114" i="80"/>
  <c r="M115" i="80" s="1"/>
  <c r="L114" i="80"/>
  <c r="K95" i="80"/>
  <c r="K100" i="80" s="1"/>
  <c r="K108" i="80" s="1"/>
  <c r="R91" i="80"/>
  <c r="N91" i="80"/>
  <c r="M91" i="80"/>
  <c r="L91" i="80"/>
  <c r="K91" i="80"/>
  <c r="T87" i="80"/>
  <c r="T91" i="80" s="1"/>
  <c r="S87" i="80"/>
  <c r="S91" i="80" s="1"/>
  <c r="R87" i="80"/>
  <c r="Q87" i="80"/>
  <c r="Q91" i="80" s="1"/>
  <c r="P87" i="80"/>
  <c r="P91" i="80" s="1"/>
  <c r="O87" i="80"/>
  <c r="O91" i="80" s="1"/>
  <c r="N87" i="80"/>
  <c r="M87" i="80"/>
  <c r="L87" i="80"/>
  <c r="K87" i="80"/>
  <c r="J81" i="80"/>
  <c r="J80" i="80"/>
  <c r="J79" i="80"/>
  <c r="J78" i="80"/>
  <c r="J77" i="80"/>
  <c r="J76" i="80"/>
  <c r="J83" i="80" s="1"/>
  <c r="H63" i="80"/>
  <c r="J63" i="80" s="1"/>
  <c r="K53" i="80"/>
  <c r="K58" i="80" s="1"/>
  <c r="J41" i="80"/>
  <c r="J40" i="80"/>
  <c r="J33" i="80" s="1"/>
  <c r="J57" i="80" s="1"/>
  <c r="J29" i="80"/>
  <c r="J56" i="80" s="1"/>
  <c r="Q28" i="80"/>
  <c r="T25" i="80"/>
  <c r="T31" i="80" s="1"/>
  <c r="T43" i="80" s="1"/>
  <c r="M25" i="80"/>
  <c r="M31" i="80" s="1"/>
  <c r="M43" i="80" s="1"/>
  <c r="Q23" i="80"/>
  <c r="Q29" i="80" s="1"/>
  <c r="Q56" i="80" s="1"/>
  <c r="K23" i="80"/>
  <c r="K67" i="80" s="1"/>
  <c r="K68" i="80" s="1"/>
  <c r="T18" i="80"/>
  <c r="S18" i="80"/>
  <c r="R18" i="80"/>
  <c r="Q18" i="80"/>
  <c r="P18" i="80"/>
  <c r="O18" i="80"/>
  <c r="N18" i="80"/>
  <c r="M18" i="80"/>
  <c r="L18" i="80"/>
  <c r="K18" i="80"/>
  <c r="S17" i="80"/>
  <c r="R17" i="80"/>
  <c r="Q17" i="80"/>
  <c r="M17" i="80"/>
  <c r="T16" i="80"/>
  <c r="T23" i="80" s="1"/>
  <c r="S16" i="80"/>
  <c r="S23" i="80" s="1"/>
  <c r="R16" i="80"/>
  <c r="R23" i="80" s="1"/>
  <c r="Q16" i="80"/>
  <c r="Q25" i="80" s="1"/>
  <c r="Q31" i="80" s="1"/>
  <c r="Q43" i="80" s="1"/>
  <c r="P16" i="80"/>
  <c r="P17" i="80" s="1"/>
  <c r="O16" i="80"/>
  <c r="O17" i="80" s="1"/>
  <c r="N16" i="80"/>
  <c r="N17" i="80" s="1"/>
  <c r="M16" i="80"/>
  <c r="M23" i="80" s="1"/>
  <c r="L16" i="80"/>
  <c r="L25" i="80" s="1"/>
  <c r="L31" i="80" s="1"/>
  <c r="L43" i="80" s="1"/>
  <c r="K14" i="80"/>
  <c r="K13" i="80"/>
  <c r="K11" i="80"/>
  <c r="K9" i="80"/>
  <c r="K8" i="80"/>
  <c r="J65" i="80" s="1"/>
  <c r="J66" i="80" s="1"/>
  <c r="D6" i="80"/>
  <c r="H4" i="80"/>
  <c r="S115" i="79"/>
  <c r="R115" i="79"/>
  <c r="Q115" i="79"/>
  <c r="T114" i="79"/>
  <c r="T115" i="79" s="1"/>
  <c r="S114" i="79"/>
  <c r="R114" i="79"/>
  <c r="Q114" i="79"/>
  <c r="P114" i="79"/>
  <c r="P115" i="79" s="1"/>
  <c r="O114" i="79"/>
  <c r="O115" i="79" s="1"/>
  <c r="N114" i="79"/>
  <c r="N115" i="79" s="1"/>
  <c r="M114" i="79"/>
  <c r="M115" i="79" s="1"/>
  <c r="L114" i="79"/>
  <c r="L115" i="79" s="1"/>
  <c r="K95" i="79"/>
  <c r="K100" i="79" s="1"/>
  <c r="K108" i="79" s="1"/>
  <c r="M91" i="79"/>
  <c r="L91" i="79"/>
  <c r="K91" i="79"/>
  <c r="T87" i="79"/>
  <c r="T91" i="79" s="1"/>
  <c r="S87" i="79"/>
  <c r="S91" i="79" s="1"/>
  <c r="R87" i="79"/>
  <c r="R91" i="79" s="1"/>
  <c r="Q87" i="79"/>
  <c r="Q91" i="79" s="1"/>
  <c r="P87" i="79"/>
  <c r="P91" i="79" s="1"/>
  <c r="O87" i="79"/>
  <c r="O91" i="79" s="1"/>
  <c r="N87" i="79"/>
  <c r="N91" i="79" s="1"/>
  <c r="M87" i="79"/>
  <c r="L87" i="79"/>
  <c r="K87" i="79"/>
  <c r="J81" i="79"/>
  <c r="J80" i="79"/>
  <c r="J79" i="79"/>
  <c r="J78" i="79"/>
  <c r="J77" i="79"/>
  <c r="J76" i="79"/>
  <c r="J83" i="79" s="1"/>
  <c r="H63" i="79"/>
  <c r="J63" i="79" s="1"/>
  <c r="K53" i="79"/>
  <c r="K58" i="79" s="1"/>
  <c r="J41" i="79"/>
  <c r="J40" i="79"/>
  <c r="J33" i="79" s="1"/>
  <c r="J57" i="79" s="1"/>
  <c r="J29" i="79"/>
  <c r="J56" i="79" s="1"/>
  <c r="M25" i="79"/>
  <c r="M31" i="79" s="1"/>
  <c r="M43" i="79" s="1"/>
  <c r="T18" i="79"/>
  <c r="S18" i="79"/>
  <c r="R18" i="79"/>
  <c r="Q18" i="79"/>
  <c r="P18" i="79"/>
  <c r="O18" i="79"/>
  <c r="N18" i="79"/>
  <c r="M18" i="79"/>
  <c r="L18" i="79"/>
  <c r="K18" i="79"/>
  <c r="K23" i="79" s="1"/>
  <c r="R17" i="79"/>
  <c r="P17" i="79"/>
  <c r="T16" i="79"/>
  <c r="T23" i="79" s="1"/>
  <c r="S16" i="79"/>
  <c r="S23" i="79" s="1"/>
  <c r="R16" i="79"/>
  <c r="R23" i="79" s="1"/>
  <c r="Q16" i="79"/>
  <c r="Q17" i="79" s="1"/>
  <c r="P16" i="79"/>
  <c r="P23" i="79" s="1"/>
  <c r="O16" i="79"/>
  <c r="O17" i="79" s="1"/>
  <c r="N16" i="79"/>
  <c r="N17" i="79" s="1"/>
  <c r="M16" i="79"/>
  <c r="M17" i="79" s="1"/>
  <c r="L16" i="79"/>
  <c r="L25" i="79" s="1"/>
  <c r="L31" i="79" s="1"/>
  <c r="L43" i="79" s="1"/>
  <c r="K14" i="79"/>
  <c r="K13" i="79"/>
  <c r="K11" i="79"/>
  <c r="K9" i="79"/>
  <c r="K8" i="79"/>
  <c r="J65" i="79" s="1"/>
  <c r="D6" i="79"/>
  <c r="H4" i="79"/>
  <c r="T115" i="78"/>
  <c r="Q115" i="78"/>
  <c r="P115" i="78"/>
  <c r="T114" i="78"/>
  <c r="S114" i="78"/>
  <c r="S115" i="78" s="1"/>
  <c r="R114" i="78"/>
  <c r="R115" i="78" s="1"/>
  <c r="Q114" i="78"/>
  <c r="P114" i="78"/>
  <c r="O114" i="78"/>
  <c r="O115" i="78" s="1"/>
  <c r="N114" i="78"/>
  <c r="N115" i="78" s="1"/>
  <c r="M114" i="78"/>
  <c r="M115" i="78" s="1"/>
  <c r="L114" i="78"/>
  <c r="L115" i="78" s="1"/>
  <c r="K95" i="78"/>
  <c r="K100" i="78" s="1"/>
  <c r="K108" i="78" s="1"/>
  <c r="Q91" i="78"/>
  <c r="N91" i="78"/>
  <c r="M91" i="78"/>
  <c r="L91" i="78"/>
  <c r="K91" i="78"/>
  <c r="T87" i="78"/>
  <c r="T91" i="78" s="1"/>
  <c r="S87" i="78"/>
  <c r="S91" i="78" s="1"/>
  <c r="R87" i="78"/>
  <c r="R91" i="78" s="1"/>
  <c r="Q87" i="78"/>
  <c r="P87" i="78"/>
  <c r="P91" i="78" s="1"/>
  <c r="O87" i="78"/>
  <c r="O91" i="78" s="1"/>
  <c r="N87" i="78"/>
  <c r="M87" i="78"/>
  <c r="L87" i="78"/>
  <c r="K87" i="78"/>
  <c r="J83" i="78"/>
  <c r="J81" i="78"/>
  <c r="J80" i="78"/>
  <c r="J79" i="78"/>
  <c r="J78" i="78"/>
  <c r="J77" i="78"/>
  <c r="J76" i="78"/>
  <c r="J65" i="78"/>
  <c r="J66" i="78" s="1"/>
  <c r="H63" i="78"/>
  <c r="J63" i="78" s="1"/>
  <c r="J56" i="78"/>
  <c r="K53" i="78"/>
  <c r="K58" i="78" s="1"/>
  <c r="K43" i="78"/>
  <c r="J41" i="78"/>
  <c r="J40" i="78"/>
  <c r="J33" i="78" s="1"/>
  <c r="J57" i="78" s="1"/>
  <c r="J29" i="78"/>
  <c r="Q28" i="78"/>
  <c r="T25" i="78"/>
  <c r="T31" i="78" s="1"/>
  <c r="T43" i="78" s="1"/>
  <c r="R25" i="78"/>
  <c r="R31" i="78" s="1"/>
  <c r="R43" i="78" s="1"/>
  <c r="N25" i="78"/>
  <c r="N31" i="78" s="1"/>
  <c r="N43" i="78" s="1"/>
  <c r="M25" i="78"/>
  <c r="M31" i="78" s="1"/>
  <c r="M43" i="78" s="1"/>
  <c r="Q23" i="78"/>
  <c r="Q104" i="78" s="1"/>
  <c r="K23" i="78"/>
  <c r="T18" i="78"/>
  <c r="S18" i="78"/>
  <c r="R18" i="78"/>
  <c r="Q18" i="78"/>
  <c r="P18" i="78"/>
  <c r="O18" i="78"/>
  <c r="N18" i="78"/>
  <c r="M18" i="78"/>
  <c r="L18" i="78"/>
  <c r="K18" i="78"/>
  <c r="S17" i="78"/>
  <c r="R17" i="78"/>
  <c r="Q17" i="78"/>
  <c r="M17" i="78"/>
  <c r="T16" i="78"/>
  <c r="T23" i="78" s="1"/>
  <c r="S16" i="78"/>
  <c r="S23" i="78" s="1"/>
  <c r="R16" i="78"/>
  <c r="R23" i="78" s="1"/>
  <c r="Q16" i="78"/>
  <c r="Q25" i="78" s="1"/>
  <c r="Q31" i="78" s="1"/>
  <c r="Q43" i="78" s="1"/>
  <c r="P16" i="78"/>
  <c r="P17" i="78" s="1"/>
  <c r="O16" i="78"/>
  <c r="O17" i="78" s="1"/>
  <c r="N16" i="78"/>
  <c r="N17" i="78" s="1"/>
  <c r="M16" i="78"/>
  <c r="M23" i="78" s="1"/>
  <c r="L16" i="78"/>
  <c r="L25" i="78" s="1"/>
  <c r="L31" i="78" s="1"/>
  <c r="L43" i="78" s="1"/>
  <c r="K14" i="78"/>
  <c r="K13" i="78"/>
  <c r="K11" i="78"/>
  <c r="K9" i="78"/>
  <c r="K8" i="78"/>
  <c r="D6" i="78"/>
  <c r="H4" i="78"/>
  <c r="T115" i="74"/>
  <c r="S115" i="74"/>
  <c r="R115" i="74"/>
  <c r="Q115" i="74"/>
  <c r="T114" i="74"/>
  <c r="S114" i="74"/>
  <c r="R114" i="74"/>
  <c r="Q114" i="74"/>
  <c r="P114" i="74"/>
  <c r="P115" i="74" s="1"/>
  <c r="O114" i="74"/>
  <c r="O115" i="74" s="1"/>
  <c r="N114" i="74"/>
  <c r="N115" i="74" s="1"/>
  <c r="M114" i="74"/>
  <c r="M115" i="74" s="1"/>
  <c r="L114" i="74"/>
  <c r="L115" i="74" s="1"/>
  <c r="S104" i="74"/>
  <c r="K95" i="74"/>
  <c r="K100" i="74" s="1"/>
  <c r="K108" i="74" s="1"/>
  <c r="N91" i="74"/>
  <c r="M91" i="74"/>
  <c r="L91" i="74"/>
  <c r="K91" i="74"/>
  <c r="T87" i="74"/>
  <c r="T91" i="74" s="1"/>
  <c r="S87" i="74"/>
  <c r="S91" i="74" s="1"/>
  <c r="R87" i="74"/>
  <c r="R91" i="74" s="1"/>
  <c r="Q87" i="74"/>
  <c r="Q91" i="74" s="1"/>
  <c r="P87" i="74"/>
  <c r="P91" i="74" s="1"/>
  <c r="O87" i="74"/>
  <c r="O91" i="74" s="1"/>
  <c r="N87" i="74"/>
  <c r="M87" i="74"/>
  <c r="L87" i="74"/>
  <c r="K87" i="74"/>
  <c r="J81" i="74"/>
  <c r="J80" i="74"/>
  <c r="J79" i="74"/>
  <c r="J78" i="74"/>
  <c r="J77" i="74"/>
  <c r="J76" i="74"/>
  <c r="J83" i="74" s="1"/>
  <c r="H63" i="74"/>
  <c r="J63" i="74" s="1"/>
  <c r="K53" i="74"/>
  <c r="K58" i="74" s="1"/>
  <c r="K43" i="74"/>
  <c r="J41" i="74"/>
  <c r="J40" i="74"/>
  <c r="J33" i="74" s="1"/>
  <c r="J57" i="74" s="1"/>
  <c r="S29" i="74"/>
  <c r="S56" i="74" s="1"/>
  <c r="J29" i="74"/>
  <c r="J56" i="74" s="1"/>
  <c r="S28" i="74"/>
  <c r="O25" i="74"/>
  <c r="O31" i="74" s="1"/>
  <c r="O43" i="74" s="1"/>
  <c r="N25" i="74"/>
  <c r="N31" i="74" s="1"/>
  <c r="N43" i="74" s="1"/>
  <c r="S23" i="74"/>
  <c r="S73" i="74" s="1"/>
  <c r="S74" i="74" s="1"/>
  <c r="M23" i="74"/>
  <c r="M67" i="74" s="1"/>
  <c r="M68" i="74" s="1"/>
  <c r="L23" i="74"/>
  <c r="L67" i="74" s="1"/>
  <c r="L68" i="74" s="1"/>
  <c r="K23" i="74"/>
  <c r="T18" i="74"/>
  <c r="S18" i="74"/>
  <c r="R18" i="74"/>
  <c r="Q18" i="74"/>
  <c r="P18" i="74"/>
  <c r="O18" i="74"/>
  <c r="N18" i="74"/>
  <c r="M18" i="74"/>
  <c r="L18" i="74"/>
  <c r="K18" i="74"/>
  <c r="T17" i="74"/>
  <c r="S17" i="74"/>
  <c r="O17" i="74"/>
  <c r="N17" i="74"/>
  <c r="T16" i="74"/>
  <c r="T23" i="74" s="1"/>
  <c r="S16" i="74"/>
  <c r="S25" i="74" s="1"/>
  <c r="S31" i="74" s="1"/>
  <c r="S43" i="74" s="1"/>
  <c r="R16" i="74"/>
  <c r="R17" i="74" s="1"/>
  <c r="Q16" i="74"/>
  <c r="Q17" i="74" s="1"/>
  <c r="P16" i="74"/>
  <c r="P17" i="74" s="1"/>
  <c r="O16" i="74"/>
  <c r="O23" i="74" s="1"/>
  <c r="N16" i="74"/>
  <c r="N23" i="74" s="1"/>
  <c r="M16" i="74"/>
  <c r="M25" i="74" s="1"/>
  <c r="M31" i="74" s="1"/>
  <c r="M43" i="74" s="1"/>
  <c r="L16" i="74"/>
  <c r="L25" i="74" s="1"/>
  <c r="L31" i="74" s="1"/>
  <c r="L43" i="74" s="1"/>
  <c r="K14" i="74"/>
  <c r="K13" i="74"/>
  <c r="K11" i="74"/>
  <c r="K9" i="74"/>
  <c r="K8" i="74"/>
  <c r="J65" i="74" s="1"/>
  <c r="J66" i="74" s="1"/>
  <c r="G60" i="58"/>
  <c r="S115" i="77"/>
  <c r="R115" i="77"/>
  <c r="Q115" i="77"/>
  <c r="T114" i="77"/>
  <c r="T115" i="77" s="1"/>
  <c r="S114" i="77"/>
  <c r="R114" i="77"/>
  <c r="Q114" i="77"/>
  <c r="P114" i="77"/>
  <c r="P115" i="77" s="1"/>
  <c r="O114" i="77"/>
  <c r="O115" i="77" s="1"/>
  <c r="N114" i="77"/>
  <c r="N115" i="77" s="1"/>
  <c r="M114" i="77"/>
  <c r="M115" i="77" s="1"/>
  <c r="L114" i="77"/>
  <c r="L115" i="77" s="1"/>
  <c r="K95" i="77"/>
  <c r="K100" i="77" s="1"/>
  <c r="K108" i="77" s="1"/>
  <c r="M91" i="77"/>
  <c r="L91" i="77"/>
  <c r="K91" i="77"/>
  <c r="T87" i="77"/>
  <c r="T91" i="77" s="1"/>
  <c r="S87" i="77"/>
  <c r="S91" i="77" s="1"/>
  <c r="R87" i="77"/>
  <c r="R91" i="77" s="1"/>
  <c r="Q87" i="77"/>
  <c r="Q91" i="77" s="1"/>
  <c r="P87" i="77"/>
  <c r="P91" i="77" s="1"/>
  <c r="O87" i="77"/>
  <c r="O91" i="77" s="1"/>
  <c r="N87" i="77"/>
  <c r="N91" i="77" s="1"/>
  <c r="M87" i="77"/>
  <c r="L87" i="77"/>
  <c r="K87" i="77"/>
  <c r="J81" i="77"/>
  <c r="J80" i="77"/>
  <c r="J79" i="77"/>
  <c r="J78" i="77"/>
  <c r="J83" i="77" s="1"/>
  <c r="J77" i="77"/>
  <c r="J76" i="77"/>
  <c r="H63" i="77"/>
  <c r="J63" i="77" s="1"/>
  <c r="J56" i="77"/>
  <c r="K53" i="77"/>
  <c r="K58" i="77" s="1"/>
  <c r="K43" i="77"/>
  <c r="J41" i="77"/>
  <c r="J40" i="77"/>
  <c r="J33" i="77" s="1"/>
  <c r="J57" i="77" s="1"/>
  <c r="J29" i="77"/>
  <c r="S25" i="77"/>
  <c r="S31" i="77" s="1"/>
  <c r="S43" i="77" s="1"/>
  <c r="R25" i="77"/>
  <c r="R31" i="77" s="1"/>
  <c r="R43" i="77" s="1"/>
  <c r="O25" i="77"/>
  <c r="O31" i="77" s="1"/>
  <c r="O43" i="77" s="1"/>
  <c r="N25" i="77"/>
  <c r="N31" i="77" s="1"/>
  <c r="N43" i="77" s="1"/>
  <c r="M25" i="77"/>
  <c r="M31" i="77" s="1"/>
  <c r="M43" i="77" s="1"/>
  <c r="L25" i="77"/>
  <c r="L31" i="77" s="1"/>
  <c r="L43" i="77" s="1"/>
  <c r="L23" i="77"/>
  <c r="L67" i="77" s="1"/>
  <c r="L68" i="77" s="1"/>
  <c r="K23" i="77"/>
  <c r="T18" i="77"/>
  <c r="S18" i="77"/>
  <c r="R18" i="77"/>
  <c r="Q18" i="77"/>
  <c r="P18" i="77"/>
  <c r="O18" i="77"/>
  <c r="N18" i="77"/>
  <c r="M18" i="77"/>
  <c r="L18" i="77"/>
  <c r="K18" i="77"/>
  <c r="T17" i="77"/>
  <c r="S17" i="77"/>
  <c r="R17" i="77"/>
  <c r="M17" i="77"/>
  <c r="L17" i="77"/>
  <c r="T16" i="77"/>
  <c r="T23" i="77" s="1"/>
  <c r="S16" i="77"/>
  <c r="S23" i="77" s="1"/>
  <c r="R16" i="77"/>
  <c r="R23" i="77" s="1"/>
  <c r="Q16" i="77"/>
  <c r="Q17" i="77" s="1"/>
  <c r="P16" i="77"/>
  <c r="P17" i="77" s="1"/>
  <c r="O16" i="77"/>
  <c r="O17" i="77" s="1"/>
  <c r="N16" i="77"/>
  <c r="N17" i="77" s="1"/>
  <c r="M16" i="77"/>
  <c r="M23" i="77" s="1"/>
  <c r="L16" i="77"/>
  <c r="K14" i="77"/>
  <c r="K13" i="77"/>
  <c r="K11" i="77"/>
  <c r="K9" i="77"/>
  <c r="K8" i="77"/>
  <c r="J65" i="77" s="1"/>
  <c r="J66" i="77" s="1"/>
  <c r="D6" i="77"/>
  <c r="H4" i="77"/>
  <c r="G55" i="58"/>
  <c r="S115" i="76"/>
  <c r="Q115" i="76"/>
  <c r="M115" i="76"/>
  <c r="T114" i="76"/>
  <c r="T115" i="76" s="1"/>
  <c r="S114" i="76"/>
  <c r="R114" i="76"/>
  <c r="R115" i="76" s="1"/>
  <c r="Q114" i="76"/>
  <c r="P114" i="76"/>
  <c r="P115" i="76" s="1"/>
  <c r="O114" i="76"/>
  <c r="O115" i="76" s="1"/>
  <c r="N114" i="76"/>
  <c r="N115" i="76" s="1"/>
  <c r="M114" i="76"/>
  <c r="L114" i="76"/>
  <c r="L115" i="76" s="1"/>
  <c r="S104" i="76"/>
  <c r="K95" i="76"/>
  <c r="K100" i="76" s="1"/>
  <c r="K108" i="76" s="1"/>
  <c r="T91" i="76"/>
  <c r="S91" i="76"/>
  <c r="N91" i="76"/>
  <c r="M91" i="76"/>
  <c r="K91" i="76"/>
  <c r="T87" i="76"/>
  <c r="S87" i="76"/>
  <c r="R87" i="76"/>
  <c r="R91" i="76" s="1"/>
  <c r="Q87" i="76"/>
  <c r="Q91" i="76" s="1"/>
  <c r="P87" i="76"/>
  <c r="P91" i="76" s="1"/>
  <c r="O87" i="76"/>
  <c r="O91" i="76" s="1"/>
  <c r="N87" i="76"/>
  <c r="M87" i="76"/>
  <c r="L87" i="76"/>
  <c r="L91" i="76" s="1"/>
  <c r="K87" i="76"/>
  <c r="J81" i="76"/>
  <c r="J80" i="76"/>
  <c r="J79" i="76"/>
  <c r="J78" i="76"/>
  <c r="J77" i="76"/>
  <c r="J76" i="76"/>
  <c r="J83" i="76" s="1"/>
  <c r="H63" i="76"/>
  <c r="J63" i="76" s="1"/>
  <c r="K53" i="76"/>
  <c r="K58" i="76" s="1"/>
  <c r="K43" i="76"/>
  <c r="J41" i="76"/>
  <c r="J40" i="76"/>
  <c r="J33" i="76" s="1"/>
  <c r="J57" i="76" s="1"/>
  <c r="S29" i="76"/>
  <c r="S56" i="76" s="1"/>
  <c r="J29" i="76"/>
  <c r="J56" i="76" s="1"/>
  <c r="N25" i="76"/>
  <c r="N31" i="76" s="1"/>
  <c r="N43" i="76" s="1"/>
  <c r="S23" i="76"/>
  <c r="S73" i="76" s="1"/>
  <c r="S74" i="76" s="1"/>
  <c r="M23" i="76"/>
  <c r="M67" i="76" s="1"/>
  <c r="M68" i="76" s="1"/>
  <c r="K23" i="76"/>
  <c r="T18" i="76"/>
  <c r="S18" i="76"/>
  <c r="R18" i="76"/>
  <c r="Q18" i="76"/>
  <c r="P18" i="76"/>
  <c r="O18" i="76"/>
  <c r="N18" i="76"/>
  <c r="M18" i="76"/>
  <c r="L18" i="76"/>
  <c r="K18" i="76"/>
  <c r="S17" i="76"/>
  <c r="Q17" i="76"/>
  <c r="O17" i="76"/>
  <c r="T16" i="76"/>
  <c r="T23" i="76" s="1"/>
  <c r="S16" i="76"/>
  <c r="S25" i="76" s="1"/>
  <c r="S31" i="76" s="1"/>
  <c r="S43" i="76" s="1"/>
  <c r="R16" i="76"/>
  <c r="R17" i="76" s="1"/>
  <c r="Q16" i="76"/>
  <c r="Q23" i="76" s="1"/>
  <c r="P16" i="76"/>
  <c r="P17" i="76" s="1"/>
  <c r="O16" i="76"/>
  <c r="O23" i="76" s="1"/>
  <c r="N16" i="76"/>
  <c r="N17" i="76" s="1"/>
  <c r="M16" i="76"/>
  <c r="M25" i="76" s="1"/>
  <c r="M31" i="76" s="1"/>
  <c r="M43" i="76" s="1"/>
  <c r="L16" i="76"/>
  <c r="L25" i="76" s="1"/>
  <c r="L31" i="76" s="1"/>
  <c r="L43" i="76" s="1"/>
  <c r="K14" i="76"/>
  <c r="K13" i="76"/>
  <c r="K11" i="76"/>
  <c r="K9" i="76"/>
  <c r="K8" i="76"/>
  <c r="J65" i="76" s="1"/>
  <c r="D6" i="76"/>
  <c r="H4" i="76"/>
  <c r="E66" i="58"/>
  <c r="E65" i="58"/>
  <c r="E63" i="58"/>
  <c r="E15" i="58"/>
  <c r="G15" i="58" s="1"/>
  <c r="G16" i="58" s="1"/>
  <c r="T115" i="75"/>
  <c r="S115" i="75"/>
  <c r="Q115" i="75"/>
  <c r="L115" i="75"/>
  <c r="T114" i="75"/>
  <c r="S114" i="75"/>
  <c r="R114" i="75"/>
  <c r="R115" i="75" s="1"/>
  <c r="Q114" i="75"/>
  <c r="P114" i="75"/>
  <c r="P115" i="75" s="1"/>
  <c r="O114" i="75"/>
  <c r="O115" i="75" s="1"/>
  <c r="N114" i="75"/>
  <c r="N115" i="75" s="1"/>
  <c r="M114" i="75"/>
  <c r="M115" i="75" s="1"/>
  <c r="L114" i="75"/>
  <c r="K95" i="75"/>
  <c r="K100" i="75" s="1"/>
  <c r="K108" i="75" s="1"/>
  <c r="R91" i="75"/>
  <c r="N91" i="75"/>
  <c r="M91" i="75"/>
  <c r="L91" i="75"/>
  <c r="T87" i="75"/>
  <c r="T91" i="75" s="1"/>
  <c r="S87" i="75"/>
  <c r="S91" i="75" s="1"/>
  <c r="R87" i="75"/>
  <c r="Q87" i="75"/>
  <c r="Q91" i="75" s="1"/>
  <c r="P87" i="75"/>
  <c r="P91" i="75" s="1"/>
  <c r="O87" i="75"/>
  <c r="O91" i="75" s="1"/>
  <c r="N87" i="75"/>
  <c r="M87" i="75"/>
  <c r="L87" i="75"/>
  <c r="K87" i="75"/>
  <c r="K91" i="75" s="1"/>
  <c r="J81" i="75"/>
  <c r="J80" i="75"/>
  <c r="J79" i="75"/>
  <c r="J78" i="75"/>
  <c r="J77" i="75"/>
  <c r="J76" i="75"/>
  <c r="Q67" i="75"/>
  <c r="Q68" i="75" s="1"/>
  <c r="J64" i="75"/>
  <c r="H63" i="75"/>
  <c r="J63" i="75" s="1"/>
  <c r="S53" i="75"/>
  <c r="S58" i="75" s="1"/>
  <c r="K53" i="75"/>
  <c r="K58" i="75" s="1"/>
  <c r="K43" i="75"/>
  <c r="J41" i="75"/>
  <c r="J40" i="75"/>
  <c r="J29" i="75"/>
  <c r="J56" i="75" s="1"/>
  <c r="Q25" i="75"/>
  <c r="Q31" i="75" s="1"/>
  <c r="Q43" i="75" s="1"/>
  <c r="N23" i="75"/>
  <c r="K23" i="75"/>
  <c r="K27" i="75" s="1"/>
  <c r="T18" i="75"/>
  <c r="S18" i="75"/>
  <c r="R18" i="75"/>
  <c r="Q18" i="75"/>
  <c r="P18" i="75"/>
  <c r="O18" i="75"/>
  <c r="N18" i="75"/>
  <c r="M18" i="75"/>
  <c r="L18" i="75"/>
  <c r="K18" i="75"/>
  <c r="S17" i="75"/>
  <c r="R17" i="75"/>
  <c r="Q17" i="75"/>
  <c r="M17" i="75"/>
  <c r="T16" i="75"/>
  <c r="S16" i="75"/>
  <c r="S25" i="75" s="1"/>
  <c r="S31" i="75" s="1"/>
  <c r="S43" i="75" s="1"/>
  <c r="R16" i="75"/>
  <c r="R23" i="75" s="1"/>
  <c r="Q16" i="75"/>
  <c r="Q23" i="75" s="1"/>
  <c r="P16" i="75"/>
  <c r="O16" i="75"/>
  <c r="O25" i="75" s="1"/>
  <c r="O31" i="75" s="1"/>
  <c r="O43" i="75" s="1"/>
  <c r="O45" i="75" s="1"/>
  <c r="N16" i="75"/>
  <c r="N17" i="75" s="1"/>
  <c r="M16" i="75"/>
  <c r="L16" i="75"/>
  <c r="L17" i="75" s="1"/>
  <c r="K14" i="75"/>
  <c r="K13" i="75"/>
  <c r="K11" i="75"/>
  <c r="K9" i="75"/>
  <c r="K8" i="75"/>
  <c r="J65" i="75" s="1"/>
  <c r="D6" i="75"/>
  <c r="H4" i="75"/>
  <c r="T73" i="80" l="1"/>
  <c r="T74" i="80" s="1"/>
  <c r="T32" i="80"/>
  <c r="T67" i="80"/>
  <c r="T68" i="80" s="1"/>
  <c r="T27" i="80"/>
  <c r="T28" i="80"/>
  <c r="T29" i="80"/>
  <c r="T56" i="80" s="1"/>
  <c r="T104" i="80"/>
  <c r="L50" i="80"/>
  <c r="L46" i="80"/>
  <c r="L51" i="80"/>
  <c r="L47" i="80"/>
  <c r="L53" i="80"/>
  <c r="L58" i="80" s="1"/>
  <c r="L48" i="80"/>
  <c r="L44" i="80"/>
  <c r="L55" i="80"/>
  <c r="L61" i="80" s="1"/>
  <c r="L71" i="80" s="1"/>
  <c r="L85" i="80" s="1"/>
  <c r="L89" i="80" s="1"/>
  <c r="L94" i="80" s="1"/>
  <c r="L49" i="80"/>
  <c r="L45" i="80"/>
  <c r="M67" i="80"/>
  <c r="M68" i="80" s="1"/>
  <c r="M27" i="80"/>
  <c r="M28" i="80"/>
  <c r="M29" i="80"/>
  <c r="M56" i="80" s="1"/>
  <c r="M59" i="80" s="1"/>
  <c r="M105" i="80" s="1"/>
  <c r="M104" i="80"/>
  <c r="M73" i="80"/>
  <c r="M74" i="80" s="1"/>
  <c r="M50" i="80"/>
  <c r="M46" i="80"/>
  <c r="M51" i="80"/>
  <c r="M47" i="80"/>
  <c r="M53" i="80"/>
  <c r="M58" i="80" s="1"/>
  <c r="M48" i="80"/>
  <c r="M44" i="80"/>
  <c r="M55" i="80"/>
  <c r="M61" i="80" s="1"/>
  <c r="M71" i="80" s="1"/>
  <c r="M85" i="80" s="1"/>
  <c r="M89" i="80" s="1"/>
  <c r="M94" i="80" s="1"/>
  <c r="M49" i="80"/>
  <c r="M45" i="80"/>
  <c r="T55" i="80"/>
  <c r="T61" i="80" s="1"/>
  <c r="T71" i="80" s="1"/>
  <c r="T85" i="80" s="1"/>
  <c r="T89" i="80" s="1"/>
  <c r="T94" i="80" s="1"/>
  <c r="T49" i="80"/>
  <c r="T45" i="80"/>
  <c r="T48" i="80"/>
  <c r="T50" i="80"/>
  <c r="T46" i="80"/>
  <c r="T51" i="80"/>
  <c r="T47" i="80"/>
  <c r="T44" i="80"/>
  <c r="T53" i="80"/>
  <c r="T58" i="80" s="1"/>
  <c r="J64" i="80"/>
  <c r="J69" i="80" s="1"/>
  <c r="Q53" i="80"/>
  <c r="Q58" i="80" s="1"/>
  <c r="Q48" i="80"/>
  <c r="Q44" i="80"/>
  <c r="Q47" i="80"/>
  <c r="Q55" i="80"/>
  <c r="Q61" i="80" s="1"/>
  <c r="Q71" i="80" s="1"/>
  <c r="Q85" i="80" s="1"/>
  <c r="Q89" i="80" s="1"/>
  <c r="Q94" i="80" s="1"/>
  <c r="Q51" i="80"/>
  <c r="Q49" i="80"/>
  <c r="Q45" i="80"/>
  <c r="Q50" i="80"/>
  <c r="Q46" i="80"/>
  <c r="K57" i="80"/>
  <c r="L57" i="80"/>
  <c r="T57" i="80"/>
  <c r="S57" i="80"/>
  <c r="R57" i="80"/>
  <c r="Q57" i="80"/>
  <c r="Q59" i="80" s="1"/>
  <c r="Q105" i="80" s="1"/>
  <c r="M57" i="80"/>
  <c r="S104" i="80"/>
  <c r="S73" i="80"/>
  <c r="S74" i="80" s="1"/>
  <c r="S32" i="80"/>
  <c r="S67" i="80"/>
  <c r="S68" i="80" s="1"/>
  <c r="S27" i="80"/>
  <c r="S28" i="80"/>
  <c r="S29" i="80"/>
  <c r="S56" i="80" s="1"/>
  <c r="R104" i="80"/>
  <c r="R73" i="80"/>
  <c r="R74" i="80" s="1"/>
  <c r="R29" i="80"/>
  <c r="R56" i="80" s="1"/>
  <c r="R67" i="80"/>
  <c r="R68" i="80" s="1"/>
  <c r="R27" i="80"/>
  <c r="R28" i="80"/>
  <c r="N25" i="80"/>
  <c r="N31" i="80" s="1"/>
  <c r="N43" i="80" s="1"/>
  <c r="K73" i="80"/>
  <c r="K74" i="80" s="1"/>
  <c r="T17" i="80"/>
  <c r="L23" i="80"/>
  <c r="O25" i="80"/>
  <c r="O31" i="80" s="1"/>
  <c r="O43" i="80" s="1"/>
  <c r="Q27" i="80"/>
  <c r="P25" i="80"/>
  <c r="P31" i="80" s="1"/>
  <c r="P43" i="80" s="1"/>
  <c r="Q67" i="80"/>
  <c r="Q68" i="80" s="1"/>
  <c r="N23" i="80"/>
  <c r="K104" i="80"/>
  <c r="O23" i="80"/>
  <c r="R25" i="80"/>
  <c r="R31" i="80" s="1"/>
  <c r="R43" i="80" s="1"/>
  <c r="K29" i="80"/>
  <c r="L17" i="80"/>
  <c r="P23" i="80"/>
  <c r="S25" i="80"/>
  <c r="S31" i="80" s="1"/>
  <c r="S43" i="80" s="1"/>
  <c r="K28" i="80"/>
  <c r="Q32" i="80"/>
  <c r="Q73" i="80"/>
  <c r="Q74" i="80" s="1"/>
  <c r="K27" i="80"/>
  <c r="Q104" i="80"/>
  <c r="L50" i="79"/>
  <c r="L46" i="79"/>
  <c r="L51" i="79"/>
  <c r="L47" i="79"/>
  <c r="L53" i="79"/>
  <c r="L58" i="79" s="1"/>
  <c r="L48" i="79"/>
  <c r="L44" i="79"/>
  <c r="L55" i="79"/>
  <c r="L61" i="79" s="1"/>
  <c r="L71" i="79" s="1"/>
  <c r="L85" i="79" s="1"/>
  <c r="L89" i="79" s="1"/>
  <c r="L94" i="79" s="1"/>
  <c r="L49" i="79"/>
  <c r="L45" i="79"/>
  <c r="J64" i="79"/>
  <c r="J69" i="79"/>
  <c r="K67" i="79"/>
  <c r="K68" i="79" s="1"/>
  <c r="K27" i="79"/>
  <c r="K28" i="79"/>
  <c r="K29" i="79"/>
  <c r="K56" i="79" s="1"/>
  <c r="K104" i="79"/>
  <c r="K73" i="79"/>
  <c r="K74" i="79" s="1"/>
  <c r="R104" i="79"/>
  <c r="R73" i="79"/>
  <c r="R74" i="79" s="1"/>
  <c r="R32" i="79"/>
  <c r="R67" i="79"/>
  <c r="R68" i="79" s="1"/>
  <c r="R27" i="79"/>
  <c r="R28" i="79"/>
  <c r="R29" i="79"/>
  <c r="R56" i="79" s="1"/>
  <c r="P28" i="79"/>
  <c r="P29" i="79"/>
  <c r="P56" i="79" s="1"/>
  <c r="P104" i="79"/>
  <c r="P73" i="79"/>
  <c r="P74" i="79" s="1"/>
  <c r="P67" i="79"/>
  <c r="P68" i="79" s="1"/>
  <c r="P27" i="79"/>
  <c r="J66" i="79"/>
  <c r="S104" i="79"/>
  <c r="S73" i="79"/>
  <c r="S74" i="79" s="1"/>
  <c r="S32" i="79"/>
  <c r="S67" i="79"/>
  <c r="S68" i="79" s="1"/>
  <c r="S27" i="79"/>
  <c r="S28" i="79"/>
  <c r="S29" i="79"/>
  <c r="S56" i="79" s="1"/>
  <c r="K57" i="79"/>
  <c r="T57" i="79"/>
  <c r="S57" i="79"/>
  <c r="R57" i="79"/>
  <c r="P57" i="79"/>
  <c r="T73" i="79"/>
  <c r="T74" i="79" s="1"/>
  <c r="T67" i="79"/>
  <c r="T68" i="79" s="1"/>
  <c r="T27" i="79"/>
  <c r="T28" i="79"/>
  <c r="T29" i="79"/>
  <c r="T56" i="79" s="1"/>
  <c r="T104" i="79"/>
  <c r="M50" i="79"/>
  <c r="M46" i="79"/>
  <c r="M51" i="79"/>
  <c r="M47" i="79"/>
  <c r="M53" i="79"/>
  <c r="M58" i="79" s="1"/>
  <c r="M48" i="79"/>
  <c r="M44" i="79"/>
  <c r="M55" i="79"/>
  <c r="M61" i="79" s="1"/>
  <c r="M71" i="79" s="1"/>
  <c r="M85" i="79" s="1"/>
  <c r="M89" i="79" s="1"/>
  <c r="M94" i="79" s="1"/>
  <c r="M49" i="79"/>
  <c r="M45" i="79"/>
  <c r="S17" i="79"/>
  <c r="N25" i="79"/>
  <c r="N31" i="79" s="1"/>
  <c r="N43" i="79" s="1"/>
  <c r="T17" i="79"/>
  <c r="L23" i="79"/>
  <c r="O25" i="79"/>
  <c r="O31" i="79" s="1"/>
  <c r="O43" i="79" s="1"/>
  <c r="M23" i="79"/>
  <c r="M57" i="79" s="1"/>
  <c r="P25" i="79"/>
  <c r="P31" i="79" s="1"/>
  <c r="P43" i="79" s="1"/>
  <c r="N23" i="79"/>
  <c r="Q25" i="79"/>
  <c r="Q31" i="79" s="1"/>
  <c r="Q43" i="79" s="1"/>
  <c r="O23" i="79"/>
  <c r="R25" i="79"/>
  <c r="R31" i="79" s="1"/>
  <c r="R43" i="79" s="1"/>
  <c r="L17" i="79"/>
  <c r="S25" i="79"/>
  <c r="S31" i="79" s="1"/>
  <c r="S43" i="79" s="1"/>
  <c r="Q23" i="79"/>
  <c r="Q57" i="79" s="1"/>
  <c r="T25" i="79"/>
  <c r="T31" i="79" s="1"/>
  <c r="T43" i="79" s="1"/>
  <c r="R53" i="78"/>
  <c r="R58" i="78" s="1"/>
  <c r="R48" i="78"/>
  <c r="R44" i="78"/>
  <c r="R55" i="78"/>
  <c r="R61" i="78" s="1"/>
  <c r="R71" i="78" s="1"/>
  <c r="R85" i="78" s="1"/>
  <c r="R89" i="78" s="1"/>
  <c r="R94" i="78" s="1"/>
  <c r="R49" i="78"/>
  <c r="R45" i="78"/>
  <c r="R50" i="78"/>
  <c r="R46" i="78"/>
  <c r="R51" i="78"/>
  <c r="R47" i="78"/>
  <c r="T55" i="78"/>
  <c r="T61" i="78" s="1"/>
  <c r="T71" i="78" s="1"/>
  <c r="T85" i="78" s="1"/>
  <c r="T89" i="78" s="1"/>
  <c r="T94" i="78" s="1"/>
  <c r="T44" i="78"/>
  <c r="T49" i="78"/>
  <c r="T45" i="78"/>
  <c r="T48" i="78"/>
  <c r="T50" i="78"/>
  <c r="T46" i="78"/>
  <c r="T51" i="78"/>
  <c r="T47" i="78"/>
  <c r="T53" i="78"/>
  <c r="T58" i="78" s="1"/>
  <c r="Q53" i="78"/>
  <c r="Q58" i="78" s="1"/>
  <c r="Q48" i="78"/>
  <c r="Q44" i="78"/>
  <c r="Q55" i="78"/>
  <c r="Q61" i="78" s="1"/>
  <c r="Q71" i="78" s="1"/>
  <c r="Q85" i="78" s="1"/>
  <c r="Q89" i="78" s="1"/>
  <c r="Q94" i="78" s="1"/>
  <c r="Q51" i="78"/>
  <c r="Q49" i="78"/>
  <c r="Q45" i="78"/>
  <c r="Q50" i="78"/>
  <c r="Q46" i="78"/>
  <c r="Q47" i="78"/>
  <c r="R104" i="78"/>
  <c r="R29" i="78"/>
  <c r="R56" i="78" s="1"/>
  <c r="R28" i="78"/>
  <c r="R73" i="78"/>
  <c r="R74" i="78" s="1"/>
  <c r="R32" i="78"/>
  <c r="R67" i="78"/>
  <c r="R68" i="78" s="1"/>
  <c r="R27" i="78"/>
  <c r="K57" i="78"/>
  <c r="T57" i="78"/>
  <c r="S57" i="78"/>
  <c r="R57" i="78"/>
  <c r="Q57" i="78"/>
  <c r="M57" i="78"/>
  <c r="M50" i="78"/>
  <c r="M46" i="78"/>
  <c r="M51" i="78"/>
  <c r="M47" i="78"/>
  <c r="M53" i="78"/>
  <c r="M58" i="78" s="1"/>
  <c r="M48" i="78"/>
  <c r="M44" i="78"/>
  <c r="M55" i="78"/>
  <c r="M61" i="78" s="1"/>
  <c r="M71" i="78" s="1"/>
  <c r="M85" i="78" s="1"/>
  <c r="M89" i="78" s="1"/>
  <c r="M94" i="78" s="1"/>
  <c r="M49" i="78"/>
  <c r="M45" i="78"/>
  <c r="S73" i="78"/>
  <c r="S74" i="78" s="1"/>
  <c r="S29" i="78"/>
  <c r="S56" i="78" s="1"/>
  <c r="S32" i="78"/>
  <c r="S104" i="78"/>
  <c r="S67" i="78"/>
  <c r="S68" i="78" s="1"/>
  <c r="S27" i="78"/>
  <c r="S28" i="78"/>
  <c r="T73" i="78"/>
  <c r="T74" i="78" s="1"/>
  <c r="T32" i="78"/>
  <c r="T67" i="78"/>
  <c r="T68" i="78" s="1"/>
  <c r="T27" i="78"/>
  <c r="T28" i="78"/>
  <c r="T104" i="78"/>
  <c r="T29" i="78"/>
  <c r="T56" i="78" s="1"/>
  <c r="T59" i="78" s="1"/>
  <c r="T105" i="78" s="1"/>
  <c r="K32" i="78"/>
  <c r="M67" i="78"/>
  <c r="M68" i="78" s="1"/>
  <c r="M27" i="78"/>
  <c r="M28" i="78"/>
  <c r="M104" i="78"/>
  <c r="M29" i="78"/>
  <c r="M56" i="78" s="1"/>
  <c r="M73" i="78"/>
  <c r="M74" i="78" s="1"/>
  <c r="N51" i="78"/>
  <c r="N47" i="78"/>
  <c r="N53" i="78"/>
  <c r="N58" i="78" s="1"/>
  <c r="N48" i="78"/>
  <c r="N44" i="78"/>
  <c r="N50" i="78"/>
  <c r="N46" i="78"/>
  <c r="N55" i="78"/>
  <c r="N61" i="78" s="1"/>
  <c r="N71" i="78" s="1"/>
  <c r="N85" i="78" s="1"/>
  <c r="N89" i="78" s="1"/>
  <c r="N94" i="78" s="1"/>
  <c r="N49" i="78"/>
  <c r="N45" i="78"/>
  <c r="L50" i="78"/>
  <c r="L46" i="78"/>
  <c r="L51" i="78"/>
  <c r="L47" i="78"/>
  <c r="L53" i="78"/>
  <c r="L58" i="78" s="1"/>
  <c r="L48" i="78"/>
  <c r="L44" i="78"/>
  <c r="L55" i="78"/>
  <c r="L61" i="78" s="1"/>
  <c r="L71" i="78" s="1"/>
  <c r="L85" i="78" s="1"/>
  <c r="L89" i="78" s="1"/>
  <c r="L94" i="78" s="1"/>
  <c r="L49" i="78"/>
  <c r="L45" i="78"/>
  <c r="J64" i="78"/>
  <c r="J69" i="78"/>
  <c r="T17" i="78"/>
  <c r="L23" i="78"/>
  <c r="O25" i="78"/>
  <c r="O31" i="78" s="1"/>
  <c r="O43" i="78" s="1"/>
  <c r="Q27" i="78"/>
  <c r="K73" i="78"/>
  <c r="K74" i="78" s="1"/>
  <c r="P25" i="78"/>
  <c r="P31" i="78" s="1"/>
  <c r="P43" i="78" s="1"/>
  <c r="N23" i="78"/>
  <c r="N57" i="78" s="1"/>
  <c r="Q67" i="78"/>
  <c r="Q68" i="78" s="1"/>
  <c r="O23" i="78"/>
  <c r="O57" i="78" s="1"/>
  <c r="K29" i="78"/>
  <c r="K56" i="78" s="1"/>
  <c r="K59" i="78" s="1"/>
  <c r="K105" i="78" s="1"/>
  <c r="K104" i="78"/>
  <c r="L17" i="78"/>
  <c r="P23" i="78"/>
  <c r="P57" i="78" s="1"/>
  <c r="S25" i="78"/>
  <c r="S31" i="78" s="1"/>
  <c r="S43" i="78" s="1"/>
  <c r="K28" i="78"/>
  <c r="Q32" i="78"/>
  <c r="K27" i="78"/>
  <c r="Q73" i="78"/>
  <c r="Q74" i="78" s="1"/>
  <c r="K67" i="78"/>
  <c r="K68" i="78" s="1"/>
  <c r="Q29" i="78"/>
  <c r="Q56" i="78" s="1"/>
  <c r="Q59" i="78" s="1"/>
  <c r="Q105" i="78" s="1"/>
  <c r="K32" i="74"/>
  <c r="L50" i="74"/>
  <c r="L46" i="74"/>
  <c r="L51" i="74"/>
  <c r="L47" i="74"/>
  <c r="L53" i="74"/>
  <c r="L58" i="74" s="1"/>
  <c r="L45" i="74"/>
  <c r="L48" i="74"/>
  <c r="L44" i="74"/>
  <c r="L55" i="74"/>
  <c r="L61" i="74" s="1"/>
  <c r="L71" i="74" s="1"/>
  <c r="L85" i="74" s="1"/>
  <c r="L89" i="74" s="1"/>
  <c r="L94" i="74" s="1"/>
  <c r="L49" i="74"/>
  <c r="N27" i="74"/>
  <c r="N28" i="74"/>
  <c r="N104" i="74"/>
  <c r="N29" i="74"/>
  <c r="N56" i="74" s="1"/>
  <c r="N73" i="74"/>
  <c r="N74" i="74" s="1"/>
  <c r="N67" i="74"/>
  <c r="N68" i="74" s="1"/>
  <c r="N32" i="74"/>
  <c r="O27" i="74"/>
  <c r="O28" i="74"/>
  <c r="O104" i="74"/>
  <c r="O29" i="74"/>
  <c r="O56" i="74" s="1"/>
  <c r="O73" i="74"/>
  <c r="O74" i="74" s="1"/>
  <c r="O32" i="74"/>
  <c r="O67" i="74"/>
  <c r="O68" i="74" s="1"/>
  <c r="N51" i="74"/>
  <c r="N47" i="74"/>
  <c r="N53" i="74"/>
  <c r="N58" i="74" s="1"/>
  <c r="N48" i="74"/>
  <c r="N44" i="74"/>
  <c r="N50" i="74"/>
  <c r="N46" i="74"/>
  <c r="N55" i="74"/>
  <c r="N61" i="74" s="1"/>
  <c r="N71" i="74" s="1"/>
  <c r="N85" i="74" s="1"/>
  <c r="N89" i="74" s="1"/>
  <c r="N94" i="74" s="1"/>
  <c r="N49" i="74"/>
  <c r="N45" i="74"/>
  <c r="M50" i="74"/>
  <c r="M46" i="74"/>
  <c r="M51" i="74"/>
  <c r="M47" i="74"/>
  <c r="M53" i="74"/>
  <c r="M58" i="74" s="1"/>
  <c r="M48" i="74"/>
  <c r="M44" i="74"/>
  <c r="M55" i="74"/>
  <c r="M61" i="74" s="1"/>
  <c r="M71" i="74" s="1"/>
  <c r="M85" i="74" s="1"/>
  <c r="M89" i="74" s="1"/>
  <c r="M94" i="74" s="1"/>
  <c r="M49" i="74"/>
  <c r="M45" i="74"/>
  <c r="O51" i="74"/>
  <c r="O47" i="74"/>
  <c r="O53" i="74"/>
  <c r="O58" i="74" s="1"/>
  <c r="O48" i="74"/>
  <c r="O44" i="74"/>
  <c r="O46" i="74"/>
  <c r="O55" i="74"/>
  <c r="O61" i="74" s="1"/>
  <c r="O71" i="74" s="1"/>
  <c r="O85" i="74" s="1"/>
  <c r="O89" i="74" s="1"/>
  <c r="O94" i="74" s="1"/>
  <c r="O49" i="74"/>
  <c r="O45" i="74"/>
  <c r="O50" i="74"/>
  <c r="S48" i="74"/>
  <c r="S44" i="74"/>
  <c r="S53" i="74"/>
  <c r="S58" i="74" s="1"/>
  <c r="S59" i="74" s="1"/>
  <c r="S105" i="74" s="1"/>
  <c r="S55" i="74"/>
  <c r="S61" i="74" s="1"/>
  <c r="S71" i="74" s="1"/>
  <c r="S85" i="74" s="1"/>
  <c r="S89" i="74" s="1"/>
  <c r="S94" i="74" s="1"/>
  <c r="S49" i="74"/>
  <c r="S45" i="74"/>
  <c r="S50" i="74"/>
  <c r="S46" i="74"/>
  <c r="S51" i="74"/>
  <c r="S47" i="74"/>
  <c r="J64" i="74"/>
  <c r="J69" i="74" s="1"/>
  <c r="K57" i="74"/>
  <c r="M57" i="74"/>
  <c r="T57" i="74"/>
  <c r="L57" i="74"/>
  <c r="S57" i="74"/>
  <c r="O57" i="74"/>
  <c r="N57" i="74"/>
  <c r="T104" i="74"/>
  <c r="T73" i="74"/>
  <c r="T74" i="74" s="1"/>
  <c r="T32" i="74"/>
  <c r="T67" i="74"/>
  <c r="T68" i="74" s="1"/>
  <c r="T27" i="74"/>
  <c r="T28" i="74"/>
  <c r="T29" i="74"/>
  <c r="T56" i="74" s="1"/>
  <c r="P25" i="74"/>
  <c r="P31" i="74" s="1"/>
  <c r="P43" i="74" s="1"/>
  <c r="L73" i="74"/>
  <c r="L74" i="74" s="1"/>
  <c r="Q25" i="74"/>
  <c r="Q31" i="74" s="1"/>
  <c r="Q43" i="74" s="1"/>
  <c r="S27" i="74"/>
  <c r="M73" i="74"/>
  <c r="M74" i="74" s="1"/>
  <c r="R25" i="74"/>
  <c r="R31" i="74" s="1"/>
  <c r="R43" i="74" s="1"/>
  <c r="K29" i="74"/>
  <c r="K56" i="74" s="1"/>
  <c r="K104" i="74"/>
  <c r="L17" i="74"/>
  <c r="P23" i="74"/>
  <c r="K28" i="74"/>
  <c r="L29" i="74"/>
  <c r="S67" i="74"/>
  <c r="S68" i="74" s="1"/>
  <c r="L104" i="74"/>
  <c r="M17" i="74"/>
  <c r="Q23" i="74"/>
  <c r="Q57" i="74" s="1"/>
  <c r="T25" i="74"/>
  <c r="T31" i="74" s="1"/>
  <c r="T43" i="74" s="1"/>
  <c r="L28" i="74"/>
  <c r="M29" i="74"/>
  <c r="M104" i="74"/>
  <c r="R23" i="74"/>
  <c r="K27" i="74"/>
  <c r="M28" i="74"/>
  <c r="S32" i="74"/>
  <c r="K73" i="74"/>
  <c r="K74" i="74" s="1"/>
  <c r="L27" i="74"/>
  <c r="M27" i="74"/>
  <c r="K67" i="74"/>
  <c r="K68" i="74" s="1"/>
  <c r="S48" i="77"/>
  <c r="S44" i="77"/>
  <c r="S55" i="77"/>
  <c r="S61" i="77" s="1"/>
  <c r="S71" i="77" s="1"/>
  <c r="S85" i="77" s="1"/>
  <c r="S89" i="77" s="1"/>
  <c r="S94" i="77" s="1"/>
  <c r="S53" i="77"/>
  <c r="S58" i="77" s="1"/>
  <c r="S49" i="77"/>
  <c r="S45" i="77"/>
  <c r="S50" i="77"/>
  <c r="S46" i="77"/>
  <c r="S51" i="77"/>
  <c r="S47" i="77"/>
  <c r="T104" i="77"/>
  <c r="T73" i="77"/>
  <c r="T74" i="77" s="1"/>
  <c r="T29" i="77"/>
  <c r="T56" i="77" s="1"/>
  <c r="T32" i="77"/>
  <c r="T67" i="77"/>
  <c r="T68" i="77" s="1"/>
  <c r="T27" i="77"/>
  <c r="T28" i="77"/>
  <c r="M67" i="77"/>
  <c r="M68" i="77" s="1"/>
  <c r="M27" i="77"/>
  <c r="M28" i="77"/>
  <c r="M104" i="77"/>
  <c r="M29" i="77"/>
  <c r="M56" i="77" s="1"/>
  <c r="M59" i="77" s="1"/>
  <c r="M105" i="77" s="1"/>
  <c r="M32" i="77"/>
  <c r="M73" i="77"/>
  <c r="M74" i="77" s="1"/>
  <c r="S73" i="77"/>
  <c r="S74" i="77" s="1"/>
  <c r="S67" i="77"/>
  <c r="S68" i="77" s="1"/>
  <c r="S104" i="77"/>
  <c r="S27" i="77"/>
  <c r="S29" i="77"/>
  <c r="S56" i="77" s="1"/>
  <c r="S28" i="77"/>
  <c r="J69" i="77"/>
  <c r="J64" i="77"/>
  <c r="L50" i="77"/>
  <c r="L46" i="77"/>
  <c r="L45" i="77"/>
  <c r="L49" i="77"/>
  <c r="L51" i="77"/>
  <c r="L47" i="77"/>
  <c r="L53" i="77"/>
  <c r="L58" i="77" s="1"/>
  <c r="L48" i="77"/>
  <c r="L44" i="77"/>
  <c r="L55" i="77"/>
  <c r="L61" i="77" s="1"/>
  <c r="L71" i="77" s="1"/>
  <c r="L85" i="77" s="1"/>
  <c r="L89" i="77" s="1"/>
  <c r="L94" i="77" s="1"/>
  <c r="M50" i="77"/>
  <c r="M46" i="77"/>
  <c r="M51" i="77"/>
  <c r="M47" i="77"/>
  <c r="M53" i="77"/>
  <c r="M58" i="77" s="1"/>
  <c r="M48" i="77"/>
  <c r="M44" i="77"/>
  <c r="M55" i="77"/>
  <c r="M61" i="77" s="1"/>
  <c r="M71" i="77" s="1"/>
  <c r="M85" i="77" s="1"/>
  <c r="M89" i="77" s="1"/>
  <c r="M94" i="77" s="1"/>
  <c r="M49" i="77"/>
  <c r="M45" i="77"/>
  <c r="K57" i="77"/>
  <c r="M57" i="77"/>
  <c r="T57" i="77"/>
  <c r="S57" i="77"/>
  <c r="R57" i="77"/>
  <c r="L57" i="77"/>
  <c r="P57" i="77"/>
  <c r="N51" i="77"/>
  <c r="N47" i="77"/>
  <c r="N53" i="77"/>
  <c r="N58" i="77" s="1"/>
  <c r="N50" i="77"/>
  <c r="N48" i="77"/>
  <c r="N44" i="77"/>
  <c r="N46" i="77"/>
  <c r="N55" i="77"/>
  <c r="N61" i="77" s="1"/>
  <c r="N71" i="77" s="1"/>
  <c r="N85" i="77" s="1"/>
  <c r="N89" i="77" s="1"/>
  <c r="N94" i="77" s="1"/>
  <c r="N49" i="77"/>
  <c r="N45" i="77"/>
  <c r="O51" i="77"/>
  <c r="O47" i="77"/>
  <c r="O53" i="77"/>
  <c r="O58" i="77" s="1"/>
  <c r="O50" i="77"/>
  <c r="O48" i="77"/>
  <c r="O44" i="77"/>
  <c r="O46" i="77"/>
  <c r="O55" i="77"/>
  <c r="O61" i="77" s="1"/>
  <c r="O71" i="77" s="1"/>
  <c r="O85" i="77" s="1"/>
  <c r="O89" i="77" s="1"/>
  <c r="O94" i="77" s="1"/>
  <c r="O49" i="77"/>
  <c r="O45" i="77"/>
  <c r="R104" i="77"/>
  <c r="R29" i="77"/>
  <c r="R56" i="77" s="1"/>
  <c r="R73" i="77"/>
  <c r="R74" i="77" s="1"/>
  <c r="R28" i="77"/>
  <c r="R67" i="77"/>
  <c r="R68" i="77" s="1"/>
  <c r="R27" i="77"/>
  <c r="R53" i="77"/>
  <c r="R58" i="77" s="1"/>
  <c r="R48" i="77"/>
  <c r="R44" i="77"/>
  <c r="R55" i="77"/>
  <c r="R61" i="77" s="1"/>
  <c r="R71" i="77" s="1"/>
  <c r="R85" i="77" s="1"/>
  <c r="R89" i="77" s="1"/>
  <c r="R94" i="77" s="1"/>
  <c r="R49" i="77"/>
  <c r="R45" i="77"/>
  <c r="R51" i="77"/>
  <c r="R50" i="77"/>
  <c r="R46" i="77"/>
  <c r="R47" i="77"/>
  <c r="P25" i="77"/>
  <c r="P31" i="77" s="1"/>
  <c r="P43" i="77" s="1"/>
  <c r="L73" i="77"/>
  <c r="L74" i="77" s="1"/>
  <c r="N23" i="77"/>
  <c r="Q25" i="77"/>
  <c r="Q31" i="77" s="1"/>
  <c r="Q43" i="77" s="1"/>
  <c r="O23" i="77"/>
  <c r="K29" i="77"/>
  <c r="K56" i="77" s="1"/>
  <c r="K59" i="77" s="1"/>
  <c r="K105" i="77" s="1"/>
  <c r="K104" i="77"/>
  <c r="P23" i="77"/>
  <c r="K28" i="77"/>
  <c r="L29" i="77"/>
  <c r="L104" i="77"/>
  <c r="Q23" i="77"/>
  <c r="T25" i="77"/>
  <c r="T31" i="77" s="1"/>
  <c r="T43" i="77" s="1"/>
  <c r="L28" i="77"/>
  <c r="K27" i="77"/>
  <c r="K73" i="77"/>
  <c r="K74" i="77" s="1"/>
  <c r="L27" i="77"/>
  <c r="K67" i="77"/>
  <c r="K68" i="77" s="1"/>
  <c r="T73" i="76"/>
  <c r="T74" i="76" s="1"/>
  <c r="T67" i="76"/>
  <c r="T68" i="76" s="1"/>
  <c r="T27" i="76"/>
  <c r="T28" i="76"/>
  <c r="T104" i="76"/>
  <c r="T29" i="76"/>
  <c r="T56" i="76" s="1"/>
  <c r="L50" i="76"/>
  <c r="L46" i="76"/>
  <c r="L51" i="76"/>
  <c r="L47" i="76"/>
  <c r="L53" i="76"/>
  <c r="L58" i="76" s="1"/>
  <c r="L48" i="76"/>
  <c r="L44" i="76"/>
  <c r="L55" i="76"/>
  <c r="L61" i="76" s="1"/>
  <c r="L71" i="76" s="1"/>
  <c r="L85" i="76" s="1"/>
  <c r="L89" i="76" s="1"/>
  <c r="L94" i="76" s="1"/>
  <c r="L49" i="76"/>
  <c r="L45" i="76"/>
  <c r="M50" i="76"/>
  <c r="M46" i="76"/>
  <c r="M51" i="76"/>
  <c r="M47" i="76"/>
  <c r="M53" i="76"/>
  <c r="M58" i="76" s="1"/>
  <c r="M48" i="76"/>
  <c r="M44" i="76"/>
  <c r="M55" i="76"/>
  <c r="M61" i="76" s="1"/>
  <c r="M71" i="76" s="1"/>
  <c r="M85" i="76" s="1"/>
  <c r="M89" i="76" s="1"/>
  <c r="M94" i="76" s="1"/>
  <c r="M49" i="76"/>
  <c r="M45" i="76"/>
  <c r="N51" i="76"/>
  <c r="N47" i="76"/>
  <c r="N53" i="76"/>
  <c r="N58" i="76" s="1"/>
  <c r="N46" i="76"/>
  <c r="N48" i="76"/>
  <c r="N44" i="76"/>
  <c r="N55" i="76"/>
  <c r="N61" i="76" s="1"/>
  <c r="N71" i="76" s="1"/>
  <c r="N85" i="76" s="1"/>
  <c r="N89" i="76" s="1"/>
  <c r="N94" i="76" s="1"/>
  <c r="N49" i="76"/>
  <c r="N45" i="76"/>
  <c r="N50" i="76"/>
  <c r="J64" i="76"/>
  <c r="J69" i="76" s="1"/>
  <c r="O27" i="76"/>
  <c r="O28" i="76"/>
  <c r="O104" i="76"/>
  <c r="O29" i="76"/>
  <c r="O56" i="76" s="1"/>
  <c r="O73" i="76"/>
  <c r="O74" i="76" s="1"/>
  <c r="O32" i="76"/>
  <c r="O67" i="76"/>
  <c r="O68" i="76" s="1"/>
  <c r="K57" i="76"/>
  <c r="T57" i="76"/>
  <c r="S57" i="76"/>
  <c r="S59" i="76" s="1"/>
  <c r="S105" i="76" s="1"/>
  <c r="Q57" i="76"/>
  <c r="O57" i="76"/>
  <c r="N57" i="76"/>
  <c r="M57" i="76"/>
  <c r="Q28" i="76"/>
  <c r="Q104" i="76"/>
  <c r="Q29" i="76"/>
  <c r="Q56" i="76" s="1"/>
  <c r="Q73" i="76"/>
  <c r="Q74" i="76" s="1"/>
  <c r="Q67" i="76"/>
  <c r="Q68" i="76" s="1"/>
  <c r="Q27" i="76"/>
  <c r="J66" i="76"/>
  <c r="S48" i="76"/>
  <c r="S44" i="76"/>
  <c r="S53" i="76"/>
  <c r="S58" i="76" s="1"/>
  <c r="S55" i="76"/>
  <c r="S61" i="76" s="1"/>
  <c r="S71" i="76" s="1"/>
  <c r="S85" i="76" s="1"/>
  <c r="S89" i="76" s="1"/>
  <c r="S94" i="76" s="1"/>
  <c r="S49" i="76"/>
  <c r="S45" i="76"/>
  <c r="S50" i="76"/>
  <c r="S46" i="76"/>
  <c r="S51" i="76"/>
  <c r="S47" i="76"/>
  <c r="T17" i="76"/>
  <c r="L23" i="76"/>
  <c r="O25" i="76"/>
  <c r="O31" i="76" s="1"/>
  <c r="O43" i="76" s="1"/>
  <c r="S28" i="76"/>
  <c r="M32" i="76"/>
  <c r="K73" i="76"/>
  <c r="K74" i="76" s="1"/>
  <c r="P25" i="76"/>
  <c r="P31" i="76" s="1"/>
  <c r="P43" i="76" s="1"/>
  <c r="N23" i="76"/>
  <c r="Q25" i="76"/>
  <c r="Q31" i="76" s="1"/>
  <c r="Q43" i="76" s="1"/>
  <c r="S27" i="76"/>
  <c r="M73" i="76"/>
  <c r="M74" i="76" s="1"/>
  <c r="R25" i="76"/>
  <c r="R31" i="76" s="1"/>
  <c r="R43" i="76" s="1"/>
  <c r="K29" i="76"/>
  <c r="K56" i="76" s="1"/>
  <c r="K59" i="76" s="1"/>
  <c r="K105" i="76" s="1"/>
  <c r="K104" i="76"/>
  <c r="L17" i="76"/>
  <c r="P23" i="76"/>
  <c r="K28" i="76"/>
  <c r="S67" i="76"/>
  <c r="S68" i="76" s="1"/>
  <c r="M17" i="76"/>
  <c r="T25" i="76"/>
  <c r="T31" i="76" s="1"/>
  <c r="T43" i="76" s="1"/>
  <c r="M29" i="76"/>
  <c r="M56" i="76" s="1"/>
  <c r="M104" i="76"/>
  <c r="R23" i="76"/>
  <c r="K27" i="76"/>
  <c r="M28" i="76"/>
  <c r="S32" i="76"/>
  <c r="M27" i="76"/>
  <c r="K67" i="76"/>
  <c r="K68" i="76" s="1"/>
  <c r="Q53" i="75"/>
  <c r="Q58" i="75" s="1"/>
  <c r="Q48" i="75"/>
  <c r="Q44" i="75"/>
  <c r="Q49" i="75"/>
  <c r="Q45" i="75"/>
  <c r="Q51" i="75"/>
  <c r="Q47" i="75"/>
  <c r="Q50" i="75"/>
  <c r="Q46" i="75"/>
  <c r="Q55" i="75"/>
  <c r="Q61" i="75" s="1"/>
  <c r="Q71" i="75" s="1"/>
  <c r="Q85" i="75" s="1"/>
  <c r="Q89" i="75" s="1"/>
  <c r="Q94" i="75" s="1"/>
  <c r="R104" i="75"/>
  <c r="R29" i="75"/>
  <c r="R56" i="75" s="1"/>
  <c r="R73" i="75"/>
  <c r="R74" i="75" s="1"/>
  <c r="R67" i="75"/>
  <c r="R68" i="75" s="1"/>
  <c r="R27" i="75"/>
  <c r="R28" i="75"/>
  <c r="N27" i="75"/>
  <c r="N73" i="75"/>
  <c r="N74" i="75" s="1"/>
  <c r="Q28" i="75"/>
  <c r="Q104" i="75"/>
  <c r="Q29" i="75"/>
  <c r="Q56" i="75" s="1"/>
  <c r="Q32" i="75"/>
  <c r="Q27" i="75"/>
  <c r="O23" i="75"/>
  <c r="N28" i="75"/>
  <c r="O49" i="75"/>
  <c r="S48" i="75"/>
  <c r="S44" i="75"/>
  <c r="S55" i="75"/>
  <c r="S61" i="75" s="1"/>
  <c r="S71" i="75" s="1"/>
  <c r="S85" i="75" s="1"/>
  <c r="S89" i="75" s="1"/>
  <c r="S94" i="75" s="1"/>
  <c r="S49" i="75"/>
  <c r="S45" i="75"/>
  <c r="S50" i="75"/>
  <c r="S46" i="75"/>
  <c r="S51" i="75"/>
  <c r="S47" i="75"/>
  <c r="S23" i="75"/>
  <c r="T23" i="75"/>
  <c r="T25" i="75"/>
  <c r="T31" i="75" s="1"/>
  <c r="T43" i="75" s="1"/>
  <c r="T17" i="75"/>
  <c r="N25" i="75"/>
  <c r="N31" i="75" s="1"/>
  <c r="N43" i="75" s="1"/>
  <c r="K29" i="75"/>
  <c r="K56" i="75" s="1"/>
  <c r="J83" i="75"/>
  <c r="N29" i="75"/>
  <c r="N56" i="75" s="1"/>
  <c r="P23" i="75"/>
  <c r="P25" i="75"/>
  <c r="P31" i="75" s="1"/>
  <c r="P43" i="75" s="1"/>
  <c r="R25" i="75"/>
  <c r="R31" i="75" s="1"/>
  <c r="R43" i="75" s="1"/>
  <c r="N104" i="75"/>
  <c r="L25" i="75"/>
  <c r="L31" i="75" s="1"/>
  <c r="L43" i="75" s="1"/>
  <c r="L23" i="75"/>
  <c r="O17" i="75"/>
  <c r="M25" i="75"/>
  <c r="M31" i="75" s="1"/>
  <c r="M43" i="75" s="1"/>
  <c r="M23" i="75"/>
  <c r="P17" i="75"/>
  <c r="J33" i="75"/>
  <c r="J57" i="75" s="1"/>
  <c r="Q73" i="75"/>
  <c r="Q74" i="75" s="1"/>
  <c r="O51" i="75"/>
  <c r="O47" i="75"/>
  <c r="O53" i="75"/>
  <c r="O58" i="75" s="1"/>
  <c r="O55" i="75"/>
  <c r="O61" i="75" s="1"/>
  <c r="O71" i="75" s="1"/>
  <c r="O85" i="75" s="1"/>
  <c r="O89" i="75" s="1"/>
  <c r="O94" i="75" s="1"/>
  <c r="O50" i="75"/>
  <c r="O46" i="75"/>
  <c r="K67" i="75"/>
  <c r="K68" i="75" s="1"/>
  <c r="K28" i="75"/>
  <c r="K104" i="75"/>
  <c r="K73" i="75"/>
  <c r="K74" i="75" s="1"/>
  <c r="O44" i="75"/>
  <c r="O48" i="75"/>
  <c r="N67" i="75"/>
  <c r="N68" i="75" s="1"/>
  <c r="K11" i="72"/>
  <c r="K11" i="71"/>
  <c r="P28" i="80" l="1"/>
  <c r="P29" i="80"/>
  <c r="P56" i="80" s="1"/>
  <c r="P104" i="80"/>
  <c r="P73" i="80"/>
  <c r="P74" i="80" s="1"/>
  <c r="P67" i="80"/>
  <c r="P68" i="80" s="1"/>
  <c r="P27" i="80"/>
  <c r="T96" i="80"/>
  <c r="T97" i="80"/>
  <c r="T103" i="80"/>
  <c r="T111" i="80" s="1"/>
  <c r="T118" i="80" s="1"/>
  <c r="T95" i="80"/>
  <c r="O28" i="80"/>
  <c r="O29" i="80"/>
  <c r="O56" i="80" s="1"/>
  <c r="O104" i="80"/>
  <c r="O73" i="80"/>
  <c r="O74" i="80" s="1"/>
  <c r="O32" i="80"/>
  <c r="O27" i="80"/>
  <c r="O67" i="80"/>
  <c r="O68" i="80" s="1"/>
  <c r="S37" i="80"/>
  <c r="S62" i="80"/>
  <c r="S38" i="80"/>
  <c r="S39" i="80"/>
  <c r="S33" i="80"/>
  <c r="S40" i="80"/>
  <c r="S41" i="80"/>
  <c r="S34" i="80"/>
  <c r="S35" i="80"/>
  <c r="S36" i="80"/>
  <c r="M103" i="80"/>
  <c r="M111" i="80" s="1"/>
  <c r="M118" i="80" s="1"/>
  <c r="M95" i="80"/>
  <c r="M100" i="80" s="1"/>
  <c r="M108" i="80" s="1"/>
  <c r="M96" i="80"/>
  <c r="M97" i="80"/>
  <c r="K32" i="80"/>
  <c r="K56" i="80"/>
  <c r="K59" i="80" s="1"/>
  <c r="K105" i="80" s="1"/>
  <c r="N27" i="80"/>
  <c r="N67" i="80"/>
  <c r="N68" i="80" s="1"/>
  <c r="N28" i="80"/>
  <c r="N29" i="80"/>
  <c r="N56" i="80" s="1"/>
  <c r="N59" i="80" s="1"/>
  <c r="N105" i="80" s="1"/>
  <c r="N104" i="80"/>
  <c r="N73" i="80"/>
  <c r="N74" i="80" s="1"/>
  <c r="N57" i="80"/>
  <c r="T59" i="80"/>
  <c r="T105" i="80" s="1"/>
  <c r="N46" i="80"/>
  <c r="N51" i="80"/>
  <c r="N47" i="80"/>
  <c r="N53" i="80"/>
  <c r="N58" i="80" s="1"/>
  <c r="N48" i="80"/>
  <c r="N44" i="80"/>
  <c r="N55" i="80"/>
  <c r="N61" i="80" s="1"/>
  <c r="N71" i="80" s="1"/>
  <c r="N85" i="80" s="1"/>
  <c r="N89" i="80" s="1"/>
  <c r="N94" i="80" s="1"/>
  <c r="N49" i="80"/>
  <c r="N45" i="80"/>
  <c r="N50" i="80"/>
  <c r="R32" i="80"/>
  <c r="O57" i="80"/>
  <c r="P51" i="80"/>
  <c r="P47" i="80"/>
  <c r="P53" i="80"/>
  <c r="P58" i="80" s="1"/>
  <c r="P48" i="80"/>
  <c r="P44" i="80"/>
  <c r="P55" i="80"/>
  <c r="P61" i="80" s="1"/>
  <c r="P71" i="80" s="1"/>
  <c r="P85" i="80" s="1"/>
  <c r="P89" i="80" s="1"/>
  <c r="P94" i="80" s="1"/>
  <c r="P49" i="80"/>
  <c r="P45" i="80"/>
  <c r="P50" i="80"/>
  <c r="P46" i="80"/>
  <c r="P57" i="80"/>
  <c r="Q95" i="80"/>
  <c r="Q103" i="80"/>
  <c r="Q111" i="80" s="1"/>
  <c r="Q118" i="80" s="1"/>
  <c r="Q96" i="80"/>
  <c r="Q97" i="80"/>
  <c r="Q36" i="80"/>
  <c r="Q37" i="80"/>
  <c r="Q62" i="80"/>
  <c r="Q38" i="80"/>
  <c r="Q39" i="80"/>
  <c r="Q33" i="80"/>
  <c r="Q40" i="80"/>
  <c r="Q41" i="80"/>
  <c r="Q34" i="80"/>
  <c r="Q35" i="80"/>
  <c r="L97" i="80"/>
  <c r="L103" i="80"/>
  <c r="L111" i="80" s="1"/>
  <c r="L118" i="80" s="1"/>
  <c r="L95" i="80"/>
  <c r="L96" i="80"/>
  <c r="O51" i="80"/>
  <c r="O47" i="80"/>
  <c r="O53" i="80"/>
  <c r="O58" i="80" s="1"/>
  <c r="O48" i="80"/>
  <c r="O44" i="80"/>
  <c r="O55" i="80"/>
  <c r="O61" i="80" s="1"/>
  <c r="O71" i="80" s="1"/>
  <c r="O85" i="80" s="1"/>
  <c r="O89" i="80" s="1"/>
  <c r="O94" i="80" s="1"/>
  <c r="O49" i="80"/>
  <c r="O45" i="80"/>
  <c r="O50" i="80"/>
  <c r="O46" i="80"/>
  <c r="T62" i="80"/>
  <c r="T38" i="80"/>
  <c r="T39" i="80"/>
  <c r="T33" i="80"/>
  <c r="T40" i="80"/>
  <c r="T41" i="80"/>
  <c r="T34" i="80"/>
  <c r="T35" i="80"/>
  <c r="T37" i="80"/>
  <c r="T36" i="80"/>
  <c r="R53" i="80"/>
  <c r="R58" i="80" s="1"/>
  <c r="R59" i="80" s="1"/>
  <c r="R105" i="80" s="1"/>
  <c r="R48" i="80"/>
  <c r="R44" i="80"/>
  <c r="R55" i="80"/>
  <c r="R61" i="80" s="1"/>
  <c r="R71" i="80" s="1"/>
  <c r="R85" i="80" s="1"/>
  <c r="R89" i="80" s="1"/>
  <c r="R94" i="80" s="1"/>
  <c r="R49" i="80"/>
  <c r="R45" i="80"/>
  <c r="R50" i="80"/>
  <c r="R46" i="80"/>
  <c r="R51" i="80"/>
  <c r="R47" i="80"/>
  <c r="S48" i="80"/>
  <c r="S44" i="80"/>
  <c r="S53" i="80"/>
  <c r="S58" i="80" s="1"/>
  <c r="S59" i="80" s="1"/>
  <c r="S105" i="80" s="1"/>
  <c r="S55" i="80"/>
  <c r="S61" i="80" s="1"/>
  <c r="S71" i="80" s="1"/>
  <c r="S85" i="80" s="1"/>
  <c r="S89" i="80" s="1"/>
  <c r="S94" i="80" s="1"/>
  <c r="S49" i="80"/>
  <c r="S45" i="80"/>
  <c r="S50" i="80"/>
  <c r="S46" i="80"/>
  <c r="S51" i="80"/>
  <c r="S47" i="80"/>
  <c r="L67" i="80"/>
  <c r="L68" i="80" s="1"/>
  <c r="L27" i="80"/>
  <c r="L28" i="80"/>
  <c r="L29" i="80"/>
  <c r="L56" i="80" s="1"/>
  <c r="L59" i="80" s="1"/>
  <c r="L105" i="80" s="1"/>
  <c r="L104" i="80"/>
  <c r="L73" i="80"/>
  <c r="L74" i="80" s="1"/>
  <c r="L32" i="80"/>
  <c r="M32" i="80"/>
  <c r="T55" i="79"/>
  <c r="T61" i="79" s="1"/>
  <c r="T71" i="79" s="1"/>
  <c r="T85" i="79" s="1"/>
  <c r="T89" i="79" s="1"/>
  <c r="T94" i="79" s="1"/>
  <c r="T49" i="79"/>
  <c r="T45" i="79"/>
  <c r="T44" i="79"/>
  <c r="T50" i="79"/>
  <c r="T46" i="79"/>
  <c r="T48" i="79"/>
  <c r="T51" i="79"/>
  <c r="T47" i="79"/>
  <c r="T53" i="79"/>
  <c r="T58" i="79" s="1"/>
  <c r="L67" i="79"/>
  <c r="L68" i="79" s="1"/>
  <c r="L27" i="79"/>
  <c r="L28" i="79"/>
  <c r="L29" i="79"/>
  <c r="L56" i="79" s="1"/>
  <c r="L104" i="79"/>
  <c r="L73" i="79"/>
  <c r="L74" i="79" s="1"/>
  <c r="L32" i="79"/>
  <c r="Q29" i="79"/>
  <c r="Q56" i="79" s="1"/>
  <c r="Q104" i="79"/>
  <c r="Q73" i="79"/>
  <c r="Q74" i="79" s="1"/>
  <c r="Q28" i="79"/>
  <c r="Q67" i="79"/>
  <c r="Q68" i="79" s="1"/>
  <c r="Q27" i="79"/>
  <c r="N50" i="79"/>
  <c r="N51" i="79"/>
  <c r="N47" i="79"/>
  <c r="N46" i="79"/>
  <c r="N53" i="79"/>
  <c r="N58" i="79" s="1"/>
  <c r="N48" i="79"/>
  <c r="N44" i="79"/>
  <c r="N55" i="79"/>
  <c r="N61" i="79" s="1"/>
  <c r="N71" i="79" s="1"/>
  <c r="N85" i="79" s="1"/>
  <c r="N89" i="79" s="1"/>
  <c r="N94" i="79" s="1"/>
  <c r="N49" i="79"/>
  <c r="N45" i="79"/>
  <c r="R37" i="79"/>
  <c r="R62" i="79"/>
  <c r="R38" i="79"/>
  <c r="R39" i="79"/>
  <c r="R33" i="79"/>
  <c r="R36" i="79"/>
  <c r="R40" i="79"/>
  <c r="R41" i="79"/>
  <c r="R34" i="79"/>
  <c r="R35" i="79"/>
  <c r="S48" i="79"/>
  <c r="S44" i="79"/>
  <c r="S55" i="79"/>
  <c r="S61" i="79" s="1"/>
  <c r="S71" i="79" s="1"/>
  <c r="S85" i="79" s="1"/>
  <c r="S89" i="79" s="1"/>
  <c r="S94" i="79" s="1"/>
  <c r="S49" i="79"/>
  <c r="S45" i="79"/>
  <c r="S50" i="79"/>
  <c r="S46" i="79"/>
  <c r="S51" i="79"/>
  <c r="S47" i="79"/>
  <c r="S53" i="79"/>
  <c r="S58" i="79" s="1"/>
  <c r="S59" i="79" s="1"/>
  <c r="S105" i="79" s="1"/>
  <c r="T59" i="79"/>
  <c r="T105" i="79" s="1"/>
  <c r="L97" i="79"/>
  <c r="L103" i="79"/>
  <c r="L111" i="79" s="1"/>
  <c r="L118" i="79" s="1"/>
  <c r="L95" i="79"/>
  <c r="L96" i="79"/>
  <c r="R53" i="79"/>
  <c r="R58" i="79" s="1"/>
  <c r="R48" i="79"/>
  <c r="R44" i="79"/>
  <c r="R55" i="79"/>
  <c r="R61" i="79" s="1"/>
  <c r="R71" i="79" s="1"/>
  <c r="R85" i="79" s="1"/>
  <c r="R89" i="79" s="1"/>
  <c r="R94" i="79" s="1"/>
  <c r="R49" i="79"/>
  <c r="R45" i="79"/>
  <c r="R50" i="79"/>
  <c r="R46" i="79"/>
  <c r="R51" i="79"/>
  <c r="R47" i="79"/>
  <c r="L57" i="79"/>
  <c r="P32" i="79"/>
  <c r="M103" i="79"/>
  <c r="M111" i="79" s="1"/>
  <c r="M118" i="79" s="1"/>
  <c r="M95" i="79"/>
  <c r="M96" i="79"/>
  <c r="M97" i="79"/>
  <c r="O27" i="79"/>
  <c r="O28" i="79"/>
  <c r="O29" i="79"/>
  <c r="O56" i="79" s="1"/>
  <c r="O104" i="79"/>
  <c r="O73" i="79"/>
  <c r="O74" i="79" s="1"/>
  <c r="O67" i="79"/>
  <c r="O68" i="79" s="1"/>
  <c r="Q53" i="79"/>
  <c r="Q58" i="79" s="1"/>
  <c r="Q47" i="79"/>
  <c r="Q48" i="79"/>
  <c r="Q44" i="79"/>
  <c r="Q55" i="79"/>
  <c r="Q61" i="79" s="1"/>
  <c r="Q71" i="79" s="1"/>
  <c r="Q85" i="79" s="1"/>
  <c r="Q89" i="79" s="1"/>
  <c r="Q94" i="79" s="1"/>
  <c r="Q49" i="79"/>
  <c r="Q45" i="79"/>
  <c r="Q50" i="79"/>
  <c r="Q46" i="79"/>
  <c r="Q51" i="79"/>
  <c r="T32" i="79"/>
  <c r="K59" i="79"/>
  <c r="K105" i="79" s="1"/>
  <c r="N27" i="79"/>
  <c r="N28" i="79"/>
  <c r="N29" i="79"/>
  <c r="N56" i="79" s="1"/>
  <c r="N67" i="79"/>
  <c r="N68" i="79" s="1"/>
  <c r="N104" i="79"/>
  <c r="N73" i="79"/>
  <c r="N74" i="79" s="1"/>
  <c r="P51" i="79"/>
  <c r="P47" i="79"/>
  <c r="P53" i="79"/>
  <c r="P58" i="79" s="1"/>
  <c r="P59" i="79" s="1"/>
  <c r="P105" i="79" s="1"/>
  <c r="P48" i="79"/>
  <c r="P44" i="79"/>
  <c r="P55" i="79"/>
  <c r="P61" i="79" s="1"/>
  <c r="P71" i="79" s="1"/>
  <c r="P85" i="79" s="1"/>
  <c r="P89" i="79" s="1"/>
  <c r="P94" i="79" s="1"/>
  <c r="P49" i="79"/>
  <c r="P45" i="79"/>
  <c r="P50" i="79"/>
  <c r="P46" i="79"/>
  <c r="M67" i="79"/>
  <c r="M68" i="79" s="1"/>
  <c r="M27" i="79"/>
  <c r="M28" i="79"/>
  <c r="M29" i="79"/>
  <c r="M56" i="79" s="1"/>
  <c r="M59" i="79" s="1"/>
  <c r="M105" i="79" s="1"/>
  <c r="M104" i="79"/>
  <c r="M73" i="79"/>
  <c r="M74" i="79" s="1"/>
  <c r="N57" i="79"/>
  <c r="R59" i="79"/>
  <c r="R105" i="79" s="1"/>
  <c r="K32" i="79"/>
  <c r="O51" i="79"/>
  <c r="O47" i="79"/>
  <c r="O53" i="79"/>
  <c r="O58" i="79" s="1"/>
  <c r="O48" i="79"/>
  <c r="O44" i="79"/>
  <c r="O55" i="79"/>
  <c r="O61" i="79" s="1"/>
  <c r="O71" i="79" s="1"/>
  <c r="O85" i="79" s="1"/>
  <c r="O89" i="79" s="1"/>
  <c r="O94" i="79" s="1"/>
  <c r="O49" i="79"/>
  <c r="O45" i="79"/>
  <c r="O50" i="79"/>
  <c r="O46" i="79"/>
  <c r="O57" i="79"/>
  <c r="S37" i="79"/>
  <c r="S62" i="79"/>
  <c r="S38" i="79"/>
  <c r="S39" i="79"/>
  <c r="S33" i="79"/>
  <c r="S40" i="79"/>
  <c r="S41" i="79"/>
  <c r="S34" i="79"/>
  <c r="S35" i="79"/>
  <c r="S36" i="79"/>
  <c r="S62" i="78"/>
  <c r="S37" i="78"/>
  <c r="S38" i="78"/>
  <c r="S39" i="78"/>
  <c r="S33" i="78"/>
  <c r="S40" i="78"/>
  <c r="S41" i="78"/>
  <c r="S34" i="78"/>
  <c r="S35" i="78"/>
  <c r="S36" i="78"/>
  <c r="T96" i="78"/>
  <c r="T97" i="78"/>
  <c r="T103" i="78"/>
  <c r="T111" i="78" s="1"/>
  <c r="T118" i="78" s="1"/>
  <c r="T95" i="78"/>
  <c r="Q36" i="78"/>
  <c r="Q62" i="78"/>
  <c r="Q37" i="78"/>
  <c r="Q38" i="78"/>
  <c r="Q39" i="78"/>
  <c r="Q33" i="78"/>
  <c r="Q40" i="78"/>
  <c r="Q35" i="78"/>
  <c r="Q41" i="78"/>
  <c r="Q34" i="78"/>
  <c r="O51" i="78"/>
  <c r="O47" i="78"/>
  <c r="O53" i="78"/>
  <c r="O58" i="78" s="1"/>
  <c r="O48" i="78"/>
  <c r="O44" i="78"/>
  <c r="O55" i="78"/>
  <c r="O61" i="78" s="1"/>
  <c r="O71" i="78" s="1"/>
  <c r="O85" i="78" s="1"/>
  <c r="O89" i="78" s="1"/>
  <c r="O94" i="78" s="1"/>
  <c r="O49" i="78"/>
  <c r="O45" i="78"/>
  <c r="O50" i="78"/>
  <c r="O46" i="78"/>
  <c r="S48" i="78"/>
  <c r="S44" i="78"/>
  <c r="S55" i="78"/>
  <c r="S61" i="78" s="1"/>
  <c r="S71" i="78" s="1"/>
  <c r="S85" i="78" s="1"/>
  <c r="S89" i="78" s="1"/>
  <c r="S94" i="78" s="1"/>
  <c r="S49" i="78"/>
  <c r="S45" i="78"/>
  <c r="S50" i="78"/>
  <c r="S46" i="78"/>
  <c r="S51" i="78"/>
  <c r="S47" i="78"/>
  <c r="S53" i="78"/>
  <c r="S58" i="78" s="1"/>
  <c r="S59" i="78" s="1"/>
  <c r="S105" i="78" s="1"/>
  <c r="L67" i="78"/>
  <c r="L68" i="78" s="1"/>
  <c r="L27" i="78"/>
  <c r="L28" i="78"/>
  <c r="L104" i="78"/>
  <c r="L29" i="78"/>
  <c r="L56" i="78" s="1"/>
  <c r="L73" i="78"/>
  <c r="L74" i="78" s="1"/>
  <c r="R59" i="78"/>
  <c r="R105" i="78" s="1"/>
  <c r="Q95" i="78"/>
  <c r="Q100" i="78" s="1"/>
  <c r="Q108" i="78" s="1"/>
  <c r="Q103" i="78"/>
  <c r="Q111" i="78" s="1"/>
  <c r="Q118" i="78" s="1"/>
  <c r="Q96" i="78"/>
  <c r="Q97" i="78"/>
  <c r="R36" i="78"/>
  <c r="R62" i="78"/>
  <c r="R37" i="78"/>
  <c r="R38" i="78"/>
  <c r="R39" i="78"/>
  <c r="R33" i="78"/>
  <c r="R40" i="78"/>
  <c r="R41" i="78"/>
  <c r="R34" i="78"/>
  <c r="R35" i="78"/>
  <c r="P28" i="78"/>
  <c r="P104" i="78"/>
  <c r="P29" i="78"/>
  <c r="P56" i="78" s="1"/>
  <c r="P59" i="78" s="1"/>
  <c r="P105" i="78" s="1"/>
  <c r="P73" i="78"/>
  <c r="P74" i="78" s="1"/>
  <c r="P32" i="78"/>
  <c r="P27" i="78"/>
  <c r="P67" i="78"/>
  <c r="P68" i="78" s="1"/>
  <c r="M32" i="78"/>
  <c r="M103" i="78"/>
  <c r="M111" i="78" s="1"/>
  <c r="M118" i="78" s="1"/>
  <c r="M95" i="78"/>
  <c r="M96" i="78"/>
  <c r="M97" i="78"/>
  <c r="P51" i="78"/>
  <c r="P47" i="78"/>
  <c r="P53" i="78"/>
  <c r="P58" i="78" s="1"/>
  <c r="P48" i="78"/>
  <c r="P44" i="78"/>
  <c r="P55" i="78"/>
  <c r="P61" i="78" s="1"/>
  <c r="P71" i="78" s="1"/>
  <c r="P85" i="78" s="1"/>
  <c r="P89" i="78" s="1"/>
  <c r="P94" i="78" s="1"/>
  <c r="P49" i="78"/>
  <c r="P45" i="78"/>
  <c r="P50" i="78"/>
  <c r="P46" i="78"/>
  <c r="T62" i="78"/>
  <c r="T37" i="78"/>
  <c r="T38" i="78"/>
  <c r="T39" i="78"/>
  <c r="T33" i="78"/>
  <c r="T40" i="78"/>
  <c r="T41" i="78"/>
  <c r="T34" i="78"/>
  <c r="T35" i="78"/>
  <c r="T36" i="78"/>
  <c r="M59" i="78"/>
  <c r="M105" i="78" s="1"/>
  <c r="R96" i="78"/>
  <c r="R95" i="78"/>
  <c r="R100" i="78" s="1"/>
  <c r="R108" i="78" s="1"/>
  <c r="R97" i="78"/>
  <c r="R103" i="78"/>
  <c r="R111" i="78" s="1"/>
  <c r="R118" i="78" s="1"/>
  <c r="O27" i="78"/>
  <c r="O28" i="78"/>
  <c r="O104" i="78"/>
  <c r="O29" i="78"/>
  <c r="O56" i="78" s="1"/>
  <c r="O59" i="78" s="1"/>
  <c r="O105" i="78" s="1"/>
  <c r="O73" i="78"/>
  <c r="O74" i="78" s="1"/>
  <c r="O67" i="78"/>
  <c r="O68" i="78" s="1"/>
  <c r="N103" i="78"/>
  <c r="N111" i="78" s="1"/>
  <c r="N118" i="78" s="1"/>
  <c r="N95" i="78"/>
  <c r="N96" i="78"/>
  <c r="N97" i="78"/>
  <c r="L57" i="78"/>
  <c r="K38" i="78"/>
  <c r="K39" i="78"/>
  <c r="K33" i="78"/>
  <c r="K40" i="78"/>
  <c r="K41" i="78"/>
  <c r="K34" i="78"/>
  <c r="K35" i="78"/>
  <c r="K36" i="78"/>
  <c r="K62" i="78"/>
  <c r="K37" i="78"/>
  <c r="N27" i="78"/>
  <c r="N28" i="78"/>
  <c r="N104" i="78"/>
  <c r="N29" i="78"/>
  <c r="N56" i="78" s="1"/>
  <c r="N59" i="78" s="1"/>
  <c r="N105" i="78" s="1"/>
  <c r="N67" i="78"/>
  <c r="N68" i="78" s="1"/>
  <c r="N73" i="78"/>
  <c r="N74" i="78" s="1"/>
  <c r="N32" i="78"/>
  <c r="L103" i="78"/>
  <c r="L111" i="78" s="1"/>
  <c r="L118" i="78" s="1"/>
  <c r="L95" i="78"/>
  <c r="L97" i="78"/>
  <c r="L96" i="78"/>
  <c r="P27" i="74"/>
  <c r="P28" i="74"/>
  <c r="P104" i="74"/>
  <c r="P29" i="74"/>
  <c r="P56" i="74" s="1"/>
  <c r="P73" i="74"/>
  <c r="P74" i="74" s="1"/>
  <c r="P32" i="74"/>
  <c r="P67" i="74"/>
  <c r="P68" i="74" s="1"/>
  <c r="M32" i="74"/>
  <c r="M56" i="74"/>
  <c r="M59" i="74" s="1"/>
  <c r="M105" i="74" s="1"/>
  <c r="K59" i="74"/>
  <c r="K105" i="74" s="1"/>
  <c r="N103" i="74"/>
  <c r="N111" i="74" s="1"/>
  <c r="N118" i="74" s="1"/>
  <c r="N95" i="74"/>
  <c r="N96" i="74"/>
  <c r="N97" i="74"/>
  <c r="L103" i="74"/>
  <c r="L111" i="74" s="1"/>
  <c r="L118" i="74" s="1"/>
  <c r="L95" i="74"/>
  <c r="L96" i="74"/>
  <c r="L97" i="74"/>
  <c r="O35" i="74"/>
  <c r="O40" i="74"/>
  <c r="O36" i="74"/>
  <c r="O41" i="74"/>
  <c r="O34" i="74"/>
  <c r="O62" i="74"/>
  <c r="O37" i="74"/>
  <c r="O38" i="74"/>
  <c r="O39" i="74"/>
  <c r="O33" i="74"/>
  <c r="T62" i="74"/>
  <c r="T37" i="74"/>
  <c r="T38" i="74"/>
  <c r="T39" i="74"/>
  <c r="T33" i="74"/>
  <c r="T40" i="74"/>
  <c r="T41" i="74"/>
  <c r="T34" i="74"/>
  <c r="T36" i="74"/>
  <c r="T35" i="74"/>
  <c r="O59" i="74"/>
  <c r="O105" i="74" s="1"/>
  <c r="R53" i="74"/>
  <c r="R58" i="74" s="1"/>
  <c r="R48" i="74"/>
  <c r="R44" i="74"/>
  <c r="R47" i="74"/>
  <c r="R55" i="74"/>
  <c r="R61" i="74" s="1"/>
  <c r="R71" i="74" s="1"/>
  <c r="R85" i="74" s="1"/>
  <c r="R89" i="74" s="1"/>
  <c r="R94" i="74" s="1"/>
  <c r="R51" i="74"/>
  <c r="R49" i="74"/>
  <c r="R45" i="74"/>
  <c r="R50" i="74"/>
  <c r="R46" i="74"/>
  <c r="M103" i="74"/>
  <c r="M111" i="74" s="1"/>
  <c r="M118" i="74" s="1"/>
  <c r="M97" i="74"/>
  <c r="M95" i="74"/>
  <c r="M96" i="74"/>
  <c r="Q51" i="74"/>
  <c r="Q53" i="74"/>
  <c r="Q58" i="74" s="1"/>
  <c r="Q48" i="74"/>
  <c r="Q44" i="74"/>
  <c r="Q55" i="74"/>
  <c r="Q61" i="74" s="1"/>
  <c r="Q71" i="74" s="1"/>
  <c r="Q85" i="74" s="1"/>
  <c r="Q89" i="74" s="1"/>
  <c r="Q94" i="74" s="1"/>
  <c r="Q49" i="74"/>
  <c r="Q45" i="74"/>
  <c r="Q47" i="74"/>
  <c r="Q50" i="74"/>
  <c r="Q46" i="74"/>
  <c r="P57" i="74"/>
  <c r="O103" i="74"/>
  <c r="O111" i="74" s="1"/>
  <c r="O118" i="74" s="1"/>
  <c r="O95" i="74"/>
  <c r="O100" i="74" s="1"/>
  <c r="O108" i="74" s="1"/>
  <c r="O96" i="74"/>
  <c r="O97" i="74"/>
  <c r="S95" i="74"/>
  <c r="S96" i="74"/>
  <c r="S97" i="74"/>
  <c r="S103" i="74"/>
  <c r="S111" i="74" s="1"/>
  <c r="S118" i="74" s="1"/>
  <c r="R104" i="74"/>
  <c r="R29" i="74"/>
  <c r="R56" i="74" s="1"/>
  <c r="R73" i="74"/>
  <c r="R74" i="74" s="1"/>
  <c r="R32" i="74"/>
  <c r="R28" i="74"/>
  <c r="R67" i="74"/>
  <c r="R68" i="74" s="1"/>
  <c r="R27" i="74"/>
  <c r="N41" i="74"/>
  <c r="N34" i="74"/>
  <c r="N33" i="74"/>
  <c r="N35" i="74"/>
  <c r="N39" i="74"/>
  <c r="N36" i="74"/>
  <c r="N62" i="74"/>
  <c r="N37" i="74"/>
  <c r="N38" i="74"/>
  <c r="N40" i="74"/>
  <c r="K39" i="74"/>
  <c r="K33" i="74"/>
  <c r="K38" i="74"/>
  <c r="K40" i="74"/>
  <c r="K41" i="74"/>
  <c r="K34" i="74"/>
  <c r="K35" i="74"/>
  <c r="K36" i="74"/>
  <c r="K62" i="74"/>
  <c r="K37" i="74"/>
  <c r="T44" i="74"/>
  <c r="T55" i="74"/>
  <c r="T61" i="74" s="1"/>
  <c r="T71" i="74" s="1"/>
  <c r="T85" i="74" s="1"/>
  <c r="T89" i="74" s="1"/>
  <c r="T94" i="74" s="1"/>
  <c r="T53" i="74"/>
  <c r="T58" i="74" s="1"/>
  <c r="T49" i="74"/>
  <c r="T45" i="74"/>
  <c r="T48" i="74"/>
  <c r="T50" i="74"/>
  <c r="T46" i="74"/>
  <c r="T51" i="74"/>
  <c r="T47" i="74"/>
  <c r="P51" i="74"/>
  <c r="P47" i="74"/>
  <c r="P53" i="74"/>
  <c r="P58" i="74" s="1"/>
  <c r="P48" i="74"/>
  <c r="P44" i="74"/>
  <c r="P55" i="74"/>
  <c r="P61" i="74" s="1"/>
  <c r="P71" i="74" s="1"/>
  <c r="P85" i="74" s="1"/>
  <c r="P89" i="74" s="1"/>
  <c r="P94" i="74" s="1"/>
  <c r="P49" i="74"/>
  <c r="P45" i="74"/>
  <c r="P50" i="74"/>
  <c r="P46" i="74"/>
  <c r="R57" i="74"/>
  <c r="N59" i="74"/>
  <c r="N105" i="74" s="1"/>
  <c r="Q28" i="74"/>
  <c r="Q104" i="74"/>
  <c r="Q29" i="74"/>
  <c r="Q56" i="74" s="1"/>
  <c r="Q59" i="74" s="1"/>
  <c r="Q105" i="74" s="1"/>
  <c r="Q73" i="74"/>
  <c r="Q74" i="74" s="1"/>
  <c r="Q27" i="74"/>
  <c r="Q32" i="74"/>
  <c r="Q67" i="74"/>
  <c r="Q68" i="74" s="1"/>
  <c r="S36" i="74"/>
  <c r="S62" i="74"/>
  <c r="S37" i="74"/>
  <c r="S38" i="74"/>
  <c r="S39" i="74"/>
  <c r="S33" i="74"/>
  <c r="S40" i="74"/>
  <c r="S41" i="74"/>
  <c r="S34" i="74"/>
  <c r="S35" i="74"/>
  <c r="L56" i="74"/>
  <c r="L59" i="74" s="1"/>
  <c r="L105" i="74" s="1"/>
  <c r="L32" i="74"/>
  <c r="T59" i="74"/>
  <c r="T105" i="74" s="1"/>
  <c r="R103" i="77"/>
  <c r="R111" i="77" s="1"/>
  <c r="R118" i="77" s="1"/>
  <c r="R95" i="77"/>
  <c r="R100" i="77" s="1"/>
  <c r="R108" i="77" s="1"/>
  <c r="R96" i="77"/>
  <c r="R97" i="77"/>
  <c r="O27" i="77"/>
  <c r="O67" i="77"/>
  <c r="O68" i="77" s="1"/>
  <c r="O28" i="77"/>
  <c r="O104" i="77"/>
  <c r="O29" i="77"/>
  <c r="O56" i="77" s="1"/>
  <c r="O59" i="77" s="1"/>
  <c r="O105" i="77" s="1"/>
  <c r="O73" i="77"/>
  <c r="O74" i="77" s="1"/>
  <c r="O103" i="77"/>
  <c r="O111" i="77" s="1"/>
  <c r="O118" i="77" s="1"/>
  <c r="O95" i="77"/>
  <c r="O96" i="77"/>
  <c r="O97" i="77"/>
  <c r="Q47" i="77"/>
  <c r="Q53" i="77"/>
  <c r="Q58" i="77" s="1"/>
  <c r="Q48" i="77"/>
  <c r="Q44" i="77"/>
  <c r="Q55" i="77"/>
  <c r="Q61" i="77" s="1"/>
  <c r="Q71" i="77" s="1"/>
  <c r="Q85" i="77" s="1"/>
  <c r="Q89" i="77" s="1"/>
  <c r="Q94" i="77" s="1"/>
  <c r="Q49" i="77"/>
  <c r="Q45" i="77"/>
  <c r="Q50" i="77"/>
  <c r="Q46" i="77"/>
  <c r="Q51" i="77"/>
  <c r="N27" i="77"/>
  <c r="N28" i="77"/>
  <c r="N67" i="77"/>
  <c r="N68" i="77" s="1"/>
  <c r="N104" i="77"/>
  <c r="N29" i="77"/>
  <c r="N56" i="77" s="1"/>
  <c r="N59" i="77" s="1"/>
  <c r="N105" i="77" s="1"/>
  <c r="N73" i="77"/>
  <c r="N74" i="77" s="1"/>
  <c r="N32" i="77"/>
  <c r="L97" i="77"/>
  <c r="L103" i="77"/>
  <c r="L111" i="77" s="1"/>
  <c r="L118" i="77" s="1"/>
  <c r="L95" i="77"/>
  <c r="L96" i="77"/>
  <c r="N103" i="77"/>
  <c r="N111" i="77" s="1"/>
  <c r="N118" i="77" s="1"/>
  <c r="N95" i="77"/>
  <c r="N96" i="77"/>
  <c r="N97" i="77"/>
  <c r="S59" i="77"/>
  <c r="S105" i="77" s="1"/>
  <c r="T53" i="77"/>
  <c r="T58" i="77" s="1"/>
  <c r="T59" i="77" s="1"/>
  <c r="T105" i="77" s="1"/>
  <c r="T55" i="77"/>
  <c r="T61" i="77" s="1"/>
  <c r="T71" i="77" s="1"/>
  <c r="T85" i="77" s="1"/>
  <c r="T89" i="77" s="1"/>
  <c r="T94" i="77" s="1"/>
  <c r="T49" i="77"/>
  <c r="T45" i="77"/>
  <c r="T44" i="77"/>
  <c r="T50" i="77"/>
  <c r="T46" i="77"/>
  <c r="T51" i="77"/>
  <c r="T47" i="77"/>
  <c r="T48" i="77"/>
  <c r="P51" i="77"/>
  <c r="P47" i="77"/>
  <c r="P53" i="77"/>
  <c r="P58" i="77" s="1"/>
  <c r="P48" i="77"/>
  <c r="P44" i="77"/>
  <c r="P55" i="77"/>
  <c r="P61" i="77" s="1"/>
  <c r="P71" i="77" s="1"/>
  <c r="P85" i="77" s="1"/>
  <c r="P89" i="77" s="1"/>
  <c r="P94" i="77" s="1"/>
  <c r="P49" i="77"/>
  <c r="P45" i="77"/>
  <c r="P50" i="77"/>
  <c r="P46" i="77"/>
  <c r="K32" i="77"/>
  <c r="Q28" i="77"/>
  <c r="Q27" i="77"/>
  <c r="Q104" i="77"/>
  <c r="Q29" i="77"/>
  <c r="Q56" i="77" s="1"/>
  <c r="Q59" i="77" s="1"/>
  <c r="Q105" i="77" s="1"/>
  <c r="Q73" i="77"/>
  <c r="Q74" i="77" s="1"/>
  <c r="Q67" i="77"/>
  <c r="Q68" i="77" s="1"/>
  <c r="R32" i="77"/>
  <c r="N57" i="77"/>
  <c r="M97" i="77"/>
  <c r="M103" i="77"/>
  <c r="M111" i="77" s="1"/>
  <c r="M118" i="77" s="1"/>
  <c r="M95" i="77"/>
  <c r="M96" i="77"/>
  <c r="L32" i="77"/>
  <c r="L56" i="77"/>
  <c r="L59" i="77" s="1"/>
  <c r="L105" i="77" s="1"/>
  <c r="O57" i="77"/>
  <c r="S32" i="77"/>
  <c r="S96" i="77"/>
  <c r="S95" i="77"/>
  <c r="S97" i="77"/>
  <c r="S103" i="77"/>
  <c r="S111" i="77" s="1"/>
  <c r="S118" i="77" s="1"/>
  <c r="M40" i="77"/>
  <c r="M41" i="77"/>
  <c r="M34" i="77"/>
  <c r="M33" i="77"/>
  <c r="M35" i="77"/>
  <c r="M36" i="77"/>
  <c r="M62" i="77"/>
  <c r="M37" i="77"/>
  <c r="M38" i="77"/>
  <c r="M39" i="77"/>
  <c r="R59" i="77"/>
  <c r="R105" i="77" s="1"/>
  <c r="T62" i="77"/>
  <c r="T37" i="77"/>
  <c r="T38" i="77"/>
  <c r="T36" i="77"/>
  <c r="T39" i="77"/>
  <c r="T33" i="77"/>
  <c r="T40" i="77"/>
  <c r="T41" i="77"/>
  <c r="T34" i="77"/>
  <c r="T35" i="77"/>
  <c r="P28" i="77"/>
  <c r="P104" i="77"/>
  <c r="P29" i="77"/>
  <c r="P56" i="77" s="1"/>
  <c r="P73" i="77"/>
  <c r="P74" i="77" s="1"/>
  <c r="P32" i="77"/>
  <c r="P67" i="77"/>
  <c r="P68" i="77" s="1"/>
  <c r="P27" i="77"/>
  <c r="Q57" i="77"/>
  <c r="O35" i="76"/>
  <c r="O41" i="76"/>
  <c r="O36" i="76"/>
  <c r="O62" i="76"/>
  <c r="O37" i="76"/>
  <c r="O34" i="76"/>
  <c r="O38" i="76"/>
  <c r="O39" i="76"/>
  <c r="O33" i="76"/>
  <c r="O40" i="76"/>
  <c r="P28" i="76"/>
  <c r="P104" i="76"/>
  <c r="P29" i="76"/>
  <c r="P56" i="76" s="1"/>
  <c r="P73" i="76"/>
  <c r="P74" i="76" s="1"/>
  <c r="P32" i="76"/>
  <c r="P67" i="76"/>
  <c r="P68" i="76" s="1"/>
  <c r="P27" i="76"/>
  <c r="O51" i="76"/>
  <c r="O47" i="76"/>
  <c r="O53" i="76"/>
  <c r="O58" i="76" s="1"/>
  <c r="O59" i="76" s="1"/>
  <c r="O105" i="76" s="1"/>
  <c r="O48" i="76"/>
  <c r="O44" i="76"/>
  <c r="O55" i="76"/>
  <c r="O61" i="76" s="1"/>
  <c r="O71" i="76" s="1"/>
  <c r="O85" i="76" s="1"/>
  <c r="O89" i="76" s="1"/>
  <c r="O94" i="76" s="1"/>
  <c r="O49" i="76"/>
  <c r="O45" i="76"/>
  <c r="O50" i="76"/>
  <c r="O46" i="76"/>
  <c r="S96" i="76"/>
  <c r="S97" i="76"/>
  <c r="S103" i="76"/>
  <c r="S111" i="76" s="1"/>
  <c r="S118" i="76" s="1"/>
  <c r="S95" i="76"/>
  <c r="S100" i="76" s="1"/>
  <c r="S108" i="76" s="1"/>
  <c r="S36" i="76"/>
  <c r="S62" i="76"/>
  <c r="S37" i="76"/>
  <c r="S38" i="76"/>
  <c r="S39" i="76"/>
  <c r="S33" i="76"/>
  <c r="S40" i="76"/>
  <c r="S41" i="76"/>
  <c r="S34" i="76"/>
  <c r="S35" i="76"/>
  <c r="L67" i="76"/>
  <c r="L68" i="76" s="1"/>
  <c r="L27" i="76"/>
  <c r="L28" i="76"/>
  <c r="L104" i="76"/>
  <c r="L29" i="76"/>
  <c r="L56" i="76" s="1"/>
  <c r="L73" i="76"/>
  <c r="L74" i="76" s="1"/>
  <c r="L57" i="76"/>
  <c r="K32" i="76"/>
  <c r="P57" i="76"/>
  <c r="T59" i="76"/>
  <c r="T105" i="76" s="1"/>
  <c r="N103" i="76"/>
  <c r="N111" i="76" s="1"/>
  <c r="N118" i="76" s="1"/>
  <c r="N95" i="76"/>
  <c r="N100" i="76" s="1"/>
  <c r="N108" i="76" s="1"/>
  <c r="N96" i="76"/>
  <c r="N97" i="76"/>
  <c r="R53" i="76"/>
  <c r="R58" i="76" s="1"/>
  <c r="R48" i="76"/>
  <c r="R44" i="76"/>
  <c r="R55" i="76"/>
  <c r="R61" i="76" s="1"/>
  <c r="R71" i="76" s="1"/>
  <c r="R85" i="76" s="1"/>
  <c r="R89" i="76" s="1"/>
  <c r="R94" i="76" s="1"/>
  <c r="R49" i="76"/>
  <c r="R45" i="76"/>
  <c r="R50" i="76"/>
  <c r="R46" i="76"/>
  <c r="R51" i="76"/>
  <c r="R47" i="76"/>
  <c r="R104" i="76"/>
  <c r="R29" i="76"/>
  <c r="R56" i="76" s="1"/>
  <c r="R73" i="76"/>
  <c r="R74" i="76" s="1"/>
  <c r="R28" i="76"/>
  <c r="R32" i="76"/>
  <c r="R67" i="76"/>
  <c r="R68" i="76" s="1"/>
  <c r="R27" i="76"/>
  <c r="R57" i="76"/>
  <c r="Q32" i="76"/>
  <c r="L103" i="76"/>
  <c r="L111" i="76" s="1"/>
  <c r="L118" i="76" s="1"/>
  <c r="L95" i="76"/>
  <c r="L96" i="76"/>
  <c r="L97" i="76"/>
  <c r="M59" i="76"/>
  <c r="M105" i="76" s="1"/>
  <c r="Q53" i="76"/>
  <c r="Q58" i="76" s="1"/>
  <c r="Q48" i="76"/>
  <c r="Q44" i="76"/>
  <c r="Q51" i="76"/>
  <c r="Q55" i="76"/>
  <c r="Q61" i="76" s="1"/>
  <c r="Q71" i="76" s="1"/>
  <c r="Q85" i="76" s="1"/>
  <c r="Q89" i="76" s="1"/>
  <c r="Q94" i="76" s="1"/>
  <c r="Q49" i="76"/>
  <c r="Q45" i="76"/>
  <c r="Q50" i="76"/>
  <c r="Q46" i="76"/>
  <c r="Q47" i="76"/>
  <c r="M103" i="76"/>
  <c r="M111" i="76" s="1"/>
  <c r="M118" i="76" s="1"/>
  <c r="M95" i="76"/>
  <c r="M100" i="76" s="1"/>
  <c r="M108" i="76" s="1"/>
  <c r="M96" i="76"/>
  <c r="M97" i="76"/>
  <c r="M40" i="76"/>
  <c r="M41" i="76"/>
  <c r="M34" i="76"/>
  <c r="M33" i="76"/>
  <c r="M35" i="76"/>
  <c r="M39" i="76"/>
  <c r="M36" i="76"/>
  <c r="M62" i="76"/>
  <c r="M37" i="76"/>
  <c r="M38" i="76"/>
  <c r="T55" i="76"/>
  <c r="T61" i="76" s="1"/>
  <c r="T71" i="76" s="1"/>
  <c r="T85" i="76" s="1"/>
  <c r="T89" i="76" s="1"/>
  <c r="T94" i="76" s="1"/>
  <c r="T49" i="76"/>
  <c r="T45" i="76"/>
  <c r="T48" i="76"/>
  <c r="T50" i="76"/>
  <c r="T46" i="76"/>
  <c r="T44" i="76"/>
  <c r="T51" i="76"/>
  <c r="T47" i="76"/>
  <c r="T53" i="76"/>
  <c r="T58" i="76" s="1"/>
  <c r="N27" i="76"/>
  <c r="N28" i="76"/>
  <c r="N104" i="76"/>
  <c r="N29" i="76"/>
  <c r="N56" i="76" s="1"/>
  <c r="N59" i="76" s="1"/>
  <c r="N105" i="76" s="1"/>
  <c r="N73" i="76"/>
  <c r="N74" i="76" s="1"/>
  <c r="N67" i="76"/>
  <c r="N68" i="76" s="1"/>
  <c r="N32" i="76"/>
  <c r="Q59" i="76"/>
  <c r="Q105" i="76" s="1"/>
  <c r="T32" i="76"/>
  <c r="P51" i="76"/>
  <c r="P47" i="76"/>
  <c r="P53" i="76"/>
  <c r="P58" i="76" s="1"/>
  <c r="P48" i="76"/>
  <c r="P44" i="76"/>
  <c r="P55" i="76"/>
  <c r="P61" i="76" s="1"/>
  <c r="P71" i="76" s="1"/>
  <c r="P85" i="76" s="1"/>
  <c r="P89" i="76" s="1"/>
  <c r="P94" i="76" s="1"/>
  <c r="P49" i="76"/>
  <c r="P45" i="76"/>
  <c r="P50" i="76"/>
  <c r="P46" i="76"/>
  <c r="Q95" i="75"/>
  <c r="Q96" i="75"/>
  <c r="Q97" i="75"/>
  <c r="Q103" i="75"/>
  <c r="Q111" i="75" s="1"/>
  <c r="Q118" i="75" s="1"/>
  <c r="P51" i="75"/>
  <c r="P47" i="75"/>
  <c r="P53" i="75"/>
  <c r="P58" i="75" s="1"/>
  <c r="P48" i="75"/>
  <c r="P44" i="75"/>
  <c r="P55" i="75"/>
  <c r="P61" i="75" s="1"/>
  <c r="P71" i="75" s="1"/>
  <c r="P85" i="75" s="1"/>
  <c r="P89" i="75" s="1"/>
  <c r="P94" i="75" s="1"/>
  <c r="P49" i="75"/>
  <c r="P45" i="75"/>
  <c r="P50" i="75"/>
  <c r="P46" i="75"/>
  <c r="N32" i="75"/>
  <c r="T73" i="75"/>
  <c r="T74" i="75" s="1"/>
  <c r="T67" i="75"/>
  <c r="T68" i="75" s="1"/>
  <c r="T28" i="75"/>
  <c r="T104" i="75"/>
  <c r="T29" i="75"/>
  <c r="T56" i="75" s="1"/>
  <c r="T27" i="75"/>
  <c r="T32" i="75"/>
  <c r="M67" i="75"/>
  <c r="M68" i="75" s="1"/>
  <c r="M27" i="75"/>
  <c r="M104" i="75"/>
  <c r="M29" i="75"/>
  <c r="M56" i="75" s="1"/>
  <c r="M59" i="75" s="1"/>
  <c r="M105" i="75" s="1"/>
  <c r="M32" i="75"/>
  <c r="M73" i="75"/>
  <c r="M74" i="75" s="1"/>
  <c r="M28" i="75"/>
  <c r="N51" i="75"/>
  <c r="N47" i="75"/>
  <c r="N48" i="75"/>
  <c r="N44" i="75"/>
  <c r="N53" i="75"/>
  <c r="N58" i="75" s="1"/>
  <c r="N55" i="75"/>
  <c r="N61" i="75" s="1"/>
  <c r="N71" i="75" s="1"/>
  <c r="N85" i="75" s="1"/>
  <c r="N89" i="75" s="1"/>
  <c r="N94" i="75" s="1"/>
  <c r="N50" i="75"/>
  <c r="N46" i="75"/>
  <c r="N49" i="75"/>
  <c r="N45" i="75"/>
  <c r="S96" i="75"/>
  <c r="S103" i="75"/>
  <c r="S111" i="75" s="1"/>
  <c r="S118" i="75" s="1"/>
  <c r="S95" i="75"/>
  <c r="S100" i="75" s="1"/>
  <c r="S108" i="75" s="1"/>
  <c r="S97" i="75"/>
  <c r="Q36" i="75"/>
  <c r="Q62" i="75"/>
  <c r="Q38" i="75"/>
  <c r="Q41" i="75"/>
  <c r="Q34" i="75"/>
  <c r="Q39" i="75"/>
  <c r="Q33" i="75"/>
  <c r="Q37" i="75"/>
  <c r="Q35" i="75"/>
  <c r="Q40" i="75"/>
  <c r="P28" i="75"/>
  <c r="P104" i="75"/>
  <c r="P29" i="75"/>
  <c r="P56" i="75" s="1"/>
  <c r="P73" i="75"/>
  <c r="P74" i="75" s="1"/>
  <c r="P67" i="75"/>
  <c r="P68" i="75" s="1"/>
  <c r="P27" i="75"/>
  <c r="P32" i="75"/>
  <c r="K57" i="75"/>
  <c r="K59" i="75" s="1"/>
  <c r="K105" i="75" s="1"/>
  <c r="T57" i="75"/>
  <c r="R57" i="75"/>
  <c r="Q57" i="75"/>
  <c r="Q59" i="75" s="1"/>
  <c r="Q105" i="75" s="1"/>
  <c r="N57" i="75"/>
  <c r="N59" i="75" s="1"/>
  <c r="N105" i="75" s="1"/>
  <c r="M57" i="75"/>
  <c r="S57" i="75"/>
  <c r="P57" i="75"/>
  <c r="O57" i="75"/>
  <c r="L57" i="75"/>
  <c r="M50" i="75"/>
  <c r="M46" i="75"/>
  <c r="M51" i="75"/>
  <c r="M47" i="75"/>
  <c r="M53" i="75"/>
  <c r="M58" i="75" s="1"/>
  <c r="M48" i="75"/>
  <c r="M44" i="75"/>
  <c r="M49" i="75"/>
  <c r="M45" i="75"/>
  <c r="M55" i="75"/>
  <c r="M61" i="75" s="1"/>
  <c r="M71" i="75" s="1"/>
  <c r="M85" i="75" s="1"/>
  <c r="M89" i="75" s="1"/>
  <c r="M94" i="75" s="1"/>
  <c r="K32" i="75"/>
  <c r="T55" i="75"/>
  <c r="T61" i="75" s="1"/>
  <c r="T71" i="75" s="1"/>
  <c r="T85" i="75" s="1"/>
  <c r="T89" i="75" s="1"/>
  <c r="T94" i="75" s="1"/>
  <c r="T49" i="75"/>
  <c r="T45" i="75"/>
  <c r="T50" i="75"/>
  <c r="T46" i="75"/>
  <c r="T53" i="75"/>
  <c r="T58" i="75" s="1"/>
  <c r="T51" i="75"/>
  <c r="T47" i="75"/>
  <c r="T44" i="75"/>
  <c r="T48" i="75"/>
  <c r="L50" i="75"/>
  <c r="L46" i="75"/>
  <c r="L53" i="75"/>
  <c r="L58" i="75" s="1"/>
  <c r="L55" i="75"/>
  <c r="L61" i="75" s="1"/>
  <c r="L71" i="75" s="1"/>
  <c r="L85" i="75" s="1"/>
  <c r="L89" i="75" s="1"/>
  <c r="L94" i="75" s="1"/>
  <c r="L49" i="75"/>
  <c r="L45" i="75"/>
  <c r="L48" i="75"/>
  <c r="L44" i="75"/>
  <c r="L51" i="75"/>
  <c r="L47" i="75"/>
  <c r="L67" i="75"/>
  <c r="L68" i="75" s="1"/>
  <c r="L28" i="75"/>
  <c r="L104" i="75"/>
  <c r="L29" i="75"/>
  <c r="L56" i="75" s="1"/>
  <c r="L59" i="75" s="1"/>
  <c r="L105" i="75" s="1"/>
  <c r="L73" i="75"/>
  <c r="L74" i="75" s="1"/>
  <c r="L27" i="75"/>
  <c r="L32" i="75"/>
  <c r="S73" i="75"/>
  <c r="S74" i="75" s="1"/>
  <c r="S67" i="75"/>
  <c r="S68" i="75" s="1"/>
  <c r="S28" i="75"/>
  <c r="S104" i="75"/>
  <c r="S27" i="75"/>
  <c r="S29" i="75"/>
  <c r="S56" i="75" s="1"/>
  <c r="S59" i="75" s="1"/>
  <c r="S105" i="75" s="1"/>
  <c r="S32" i="75"/>
  <c r="O103" i="75"/>
  <c r="O111" i="75" s="1"/>
  <c r="O118" i="75" s="1"/>
  <c r="O95" i="75"/>
  <c r="O96" i="75"/>
  <c r="O97" i="75"/>
  <c r="J66" i="75"/>
  <c r="J69" i="75" s="1"/>
  <c r="O27" i="75"/>
  <c r="O28" i="75"/>
  <c r="O104" i="75"/>
  <c r="O73" i="75"/>
  <c r="O74" i="75" s="1"/>
  <c r="O67" i="75"/>
  <c r="O68" i="75" s="1"/>
  <c r="O29" i="75"/>
  <c r="O56" i="75" s="1"/>
  <c r="O59" i="75" s="1"/>
  <c r="O105" i="75" s="1"/>
  <c r="O32" i="75"/>
  <c r="R32" i="75"/>
  <c r="R53" i="75"/>
  <c r="R58" i="75" s="1"/>
  <c r="R59" i="75" s="1"/>
  <c r="R105" i="75" s="1"/>
  <c r="R48" i="75"/>
  <c r="R44" i="75"/>
  <c r="R55" i="75"/>
  <c r="R61" i="75" s="1"/>
  <c r="R71" i="75" s="1"/>
  <c r="R85" i="75" s="1"/>
  <c r="R89" i="75" s="1"/>
  <c r="R94" i="75" s="1"/>
  <c r="R51" i="75"/>
  <c r="R47" i="75"/>
  <c r="R50" i="75"/>
  <c r="R46" i="75"/>
  <c r="R49" i="75"/>
  <c r="R45" i="75"/>
  <c r="D6" i="74"/>
  <c r="H4" i="74"/>
  <c r="T114" i="72"/>
  <c r="T115" i="72" s="1"/>
  <c r="S114" i="72"/>
  <c r="S115" i="72" s="1"/>
  <c r="R114" i="72"/>
  <c r="R115" i="72" s="1"/>
  <c r="Q114" i="72"/>
  <c r="Q115" i="72" s="1"/>
  <c r="P114" i="72"/>
  <c r="P115" i="72" s="1"/>
  <c r="O114" i="72"/>
  <c r="O115" i="72" s="1"/>
  <c r="N114" i="72"/>
  <c r="N115" i="72" s="1"/>
  <c r="M114" i="72"/>
  <c r="M115" i="72" s="1"/>
  <c r="L114" i="72"/>
  <c r="L115" i="72" s="1"/>
  <c r="K95" i="72"/>
  <c r="K100" i="72" s="1"/>
  <c r="K108" i="72" s="1"/>
  <c r="T87" i="72"/>
  <c r="T91" i="72" s="1"/>
  <c r="S87" i="72"/>
  <c r="S91" i="72" s="1"/>
  <c r="R87" i="72"/>
  <c r="R91" i="72" s="1"/>
  <c r="Q87" i="72"/>
  <c r="Q91" i="72" s="1"/>
  <c r="P87" i="72"/>
  <c r="P91" i="72" s="1"/>
  <c r="O87" i="72"/>
  <c r="O91" i="72" s="1"/>
  <c r="N87" i="72"/>
  <c r="N91" i="72" s="1"/>
  <c r="M87" i="72"/>
  <c r="M91" i="72" s="1"/>
  <c r="L87" i="72"/>
  <c r="L91" i="72" s="1"/>
  <c r="K87" i="72"/>
  <c r="K91" i="72" s="1"/>
  <c r="J81" i="72"/>
  <c r="J80" i="72"/>
  <c r="J79" i="72"/>
  <c r="J78" i="72"/>
  <c r="J77" i="72"/>
  <c r="J76" i="72"/>
  <c r="H63" i="72"/>
  <c r="J63" i="72" s="1"/>
  <c r="K53" i="72"/>
  <c r="K58" i="72" s="1"/>
  <c r="J41" i="72"/>
  <c r="J40" i="72"/>
  <c r="J29" i="72"/>
  <c r="J56" i="72" s="1"/>
  <c r="T18" i="72"/>
  <c r="S18" i="72"/>
  <c r="R18" i="72"/>
  <c r="Q18" i="72"/>
  <c r="P18" i="72"/>
  <c r="O18" i="72"/>
  <c r="N18" i="72"/>
  <c r="M18" i="72"/>
  <c r="L18" i="72"/>
  <c r="K18" i="72"/>
  <c r="K23" i="72" s="1"/>
  <c r="T16" i="72"/>
  <c r="T23" i="72" s="1"/>
  <c r="S16" i="72"/>
  <c r="S17" i="72" s="1"/>
  <c r="R16" i="72"/>
  <c r="R17" i="72" s="1"/>
  <c r="Q16" i="72"/>
  <c r="Q17" i="72" s="1"/>
  <c r="P16" i="72"/>
  <c r="P17" i="72" s="1"/>
  <c r="O16" i="72"/>
  <c r="O23" i="72" s="1"/>
  <c r="N16" i="72"/>
  <c r="N17" i="72" s="1"/>
  <c r="M16" i="72"/>
  <c r="M25" i="72" s="1"/>
  <c r="M31" i="72" s="1"/>
  <c r="M43" i="72" s="1"/>
  <c r="L16" i="72"/>
  <c r="L25" i="72" s="1"/>
  <c r="L31" i="72" s="1"/>
  <c r="L43" i="72" s="1"/>
  <c r="K43" i="72"/>
  <c r="K14" i="72"/>
  <c r="K13" i="72"/>
  <c r="K9" i="72"/>
  <c r="K8" i="72"/>
  <c r="J65" i="72" s="1"/>
  <c r="D6" i="72"/>
  <c r="H4" i="72"/>
  <c r="K95" i="71"/>
  <c r="L40" i="80" l="1"/>
  <c r="L39" i="80"/>
  <c r="L41" i="80"/>
  <c r="L34" i="80"/>
  <c r="L35" i="80"/>
  <c r="L33" i="80"/>
  <c r="L36" i="80"/>
  <c r="L37" i="80"/>
  <c r="L62" i="80"/>
  <c r="L38" i="80"/>
  <c r="T63" i="80"/>
  <c r="T64" i="80"/>
  <c r="T65" i="80"/>
  <c r="T66" i="80"/>
  <c r="T75" i="80"/>
  <c r="Q63" i="80"/>
  <c r="Q64" i="80"/>
  <c r="Q65" i="80"/>
  <c r="Q66" i="80"/>
  <c r="Q75" i="80"/>
  <c r="N32" i="80"/>
  <c r="S63" i="80"/>
  <c r="S64" i="80"/>
  <c r="S65" i="80"/>
  <c r="S66" i="80"/>
  <c r="S75" i="80"/>
  <c r="S96" i="80"/>
  <c r="S97" i="80"/>
  <c r="S103" i="80"/>
  <c r="S111" i="80" s="1"/>
  <c r="S118" i="80" s="1"/>
  <c r="S95" i="80"/>
  <c r="L100" i="80"/>
  <c r="L108" i="80" s="1"/>
  <c r="P103" i="80"/>
  <c r="P111" i="80" s="1"/>
  <c r="P118" i="80" s="1"/>
  <c r="P95" i="80"/>
  <c r="P96" i="80"/>
  <c r="P97" i="80"/>
  <c r="T100" i="80"/>
  <c r="T108" i="80" s="1"/>
  <c r="O35" i="80"/>
  <c r="O36" i="80"/>
  <c r="O37" i="80"/>
  <c r="O62" i="80"/>
  <c r="O38" i="80"/>
  <c r="O39" i="80"/>
  <c r="O33" i="80"/>
  <c r="O40" i="80"/>
  <c r="O41" i="80"/>
  <c r="O34" i="80"/>
  <c r="O103" i="80"/>
  <c r="O111" i="80" s="1"/>
  <c r="O118" i="80" s="1"/>
  <c r="O95" i="80"/>
  <c r="O96" i="80"/>
  <c r="O97" i="80"/>
  <c r="Q100" i="80"/>
  <c r="Q108" i="80" s="1"/>
  <c r="P32" i="80"/>
  <c r="O59" i="80"/>
  <c r="O105" i="80" s="1"/>
  <c r="N103" i="80"/>
  <c r="N111" i="80" s="1"/>
  <c r="N118" i="80" s="1"/>
  <c r="N95" i="80"/>
  <c r="N96" i="80"/>
  <c r="N97" i="80"/>
  <c r="K39" i="80"/>
  <c r="K33" i="80"/>
  <c r="K40" i="80"/>
  <c r="K41" i="80"/>
  <c r="K34" i="80"/>
  <c r="K35" i="80"/>
  <c r="K36" i="80"/>
  <c r="K37" i="80"/>
  <c r="K62" i="80"/>
  <c r="K38" i="80"/>
  <c r="R37" i="80"/>
  <c r="R36" i="80"/>
  <c r="R62" i="80"/>
  <c r="R38" i="80"/>
  <c r="R39" i="80"/>
  <c r="R33" i="80"/>
  <c r="R40" i="80"/>
  <c r="R41" i="80"/>
  <c r="R34" i="80"/>
  <c r="R35" i="80"/>
  <c r="P59" i="80"/>
  <c r="P105" i="80" s="1"/>
  <c r="M41" i="80"/>
  <c r="M34" i="80"/>
  <c r="M35" i="80"/>
  <c r="M36" i="80"/>
  <c r="M40" i="80"/>
  <c r="M37" i="80"/>
  <c r="M62" i="80"/>
  <c r="M38" i="80"/>
  <c r="M39" i="80"/>
  <c r="M33" i="80"/>
  <c r="R96" i="80"/>
  <c r="R95" i="80"/>
  <c r="R100" i="80" s="1"/>
  <c r="R108" i="80" s="1"/>
  <c r="R97" i="80"/>
  <c r="R103" i="80"/>
  <c r="R111" i="80" s="1"/>
  <c r="R118" i="80" s="1"/>
  <c r="N59" i="79"/>
  <c r="N105" i="79" s="1"/>
  <c r="Q95" i="79"/>
  <c r="Q100" i="79" s="1"/>
  <c r="Q108" i="79" s="1"/>
  <c r="Q103" i="79"/>
  <c r="Q111" i="79" s="1"/>
  <c r="Q118" i="79" s="1"/>
  <c r="Q96" i="79"/>
  <c r="Q97" i="79"/>
  <c r="M32" i="79"/>
  <c r="P103" i="79"/>
  <c r="P111" i="79" s="1"/>
  <c r="P118" i="79" s="1"/>
  <c r="P95" i="79"/>
  <c r="P100" i="79" s="1"/>
  <c r="P108" i="79" s="1"/>
  <c r="P96" i="79"/>
  <c r="P97" i="79"/>
  <c r="Q32" i="79"/>
  <c r="N103" i="79"/>
  <c r="N111" i="79" s="1"/>
  <c r="N118" i="79" s="1"/>
  <c r="N95" i="79"/>
  <c r="N100" i="79" s="1"/>
  <c r="N108" i="79" s="1"/>
  <c r="N96" i="79"/>
  <c r="N97" i="79"/>
  <c r="R95" i="79"/>
  <c r="R96" i="79"/>
  <c r="R97" i="79"/>
  <c r="R103" i="79"/>
  <c r="R111" i="79" s="1"/>
  <c r="R118" i="79" s="1"/>
  <c r="O103" i="79"/>
  <c r="O111" i="79" s="1"/>
  <c r="O118" i="79" s="1"/>
  <c r="O95" i="79"/>
  <c r="O96" i="79"/>
  <c r="O97" i="79"/>
  <c r="M100" i="79"/>
  <c r="M108" i="79" s="1"/>
  <c r="Q59" i="79"/>
  <c r="Q105" i="79" s="1"/>
  <c r="L40" i="79"/>
  <c r="L41" i="79"/>
  <c r="L34" i="79"/>
  <c r="L35" i="79"/>
  <c r="L36" i="79"/>
  <c r="L39" i="79"/>
  <c r="L33" i="79"/>
  <c r="L37" i="79"/>
  <c r="L62" i="79"/>
  <c r="L38" i="79"/>
  <c r="T62" i="79"/>
  <c r="T38" i="79"/>
  <c r="T39" i="79"/>
  <c r="T33" i="79"/>
  <c r="T40" i="79"/>
  <c r="T41" i="79"/>
  <c r="T34" i="79"/>
  <c r="T35" i="79"/>
  <c r="T37" i="79"/>
  <c r="T36" i="79"/>
  <c r="O32" i="79"/>
  <c r="P36" i="79"/>
  <c r="P37" i="79"/>
  <c r="P62" i="79"/>
  <c r="P38" i="79"/>
  <c r="P39" i="79"/>
  <c r="P33" i="79"/>
  <c r="P40" i="79"/>
  <c r="P41" i="79"/>
  <c r="P34" i="79"/>
  <c r="P35" i="79"/>
  <c r="N32" i="79"/>
  <c r="L59" i="79"/>
  <c r="L105" i="79" s="1"/>
  <c r="S63" i="79"/>
  <c r="S64" i="79"/>
  <c r="S65" i="79"/>
  <c r="S66" i="79"/>
  <c r="S75" i="79"/>
  <c r="L100" i="79"/>
  <c r="L108" i="79" s="1"/>
  <c r="R63" i="79"/>
  <c r="R69" i="79" s="1"/>
  <c r="R106" i="79" s="1"/>
  <c r="R64" i="79"/>
  <c r="R65" i="79"/>
  <c r="R66" i="79"/>
  <c r="R75" i="79"/>
  <c r="K39" i="79"/>
  <c r="K33" i="79"/>
  <c r="K40" i="79"/>
  <c r="K41" i="79"/>
  <c r="K34" i="79"/>
  <c r="K35" i="79"/>
  <c r="K36" i="79"/>
  <c r="K37" i="79"/>
  <c r="K62" i="79"/>
  <c r="K38" i="79"/>
  <c r="O59" i="79"/>
  <c r="O105" i="79" s="1"/>
  <c r="S96" i="79"/>
  <c r="S97" i="79"/>
  <c r="S103" i="79"/>
  <c r="S111" i="79" s="1"/>
  <c r="S118" i="79" s="1"/>
  <c r="S95" i="79"/>
  <c r="T96" i="79"/>
  <c r="T97" i="79"/>
  <c r="T103" i="79"/>
  <c r="T111" i="79" s="1"/>
  <c r="T118" i="79" s="1"/>
  <c r="T95" i="79"/>
  <c r="T100" i="79" s="1"/>
  <c r="T108" i="79" s="1"/>
  <c r="N41" i="78"/>
  <c r="N34" i="78"/>
  <c r="N35" i="78"/>
  <c r="N36" i="78"/>
  <c r="N62" i="78"/>
  <c r="N37" i="78"/>
  <c r="N38" i="78"/>
  <c r="N39" i="78"/>
  <c r="N33" i="78"/>
  <c r="N40" i="78"/>
  <c r="M100" i="78"/>
  <c r="M108" i="78" s="1"/>
  <c r="O103" i="78"/>
  <c r="O111" i="78" s="1"/>
  <c r="O118" i="78" s="1"/>
  <c r="O95" i="78"/>
  <c r="O96" i="78"/>
  <c r="O97" i="78"/>
  <c r="M40" i="78"/>
  <c r="M41" i="78"/>
  <c r="M34" i="78"/>
  <c r="M35" i="78"/>
  <c r="M39" i="78"/>
  <c r="M36" i="78"/>
  <c r="M33" i="78"/>
  <c r="M62" i="78"/>
  <c r="M37" i="78"/>
  <c r="M38" i="78"/>
  <c r="L59" i="78"/>
  <c r="L105" i="78" s="1"/>
  <c r="P103" i="78"/>
  <c r="P111" i="78" s="1"/>
  <c r="P118" i="78" s="1"/>
  <c r="P95" i="78"/>
  <c r="P100" i="78" s="1"/>
  <c r="P108" i="78" s="1"/>
  <c r="P96" i="78"/>
  <c r="P97" i="78"/>
  <c r="S96" i="78"/>
  <c r="S97" i="78"/>
  <c r="S103" i="78"/>
  <c r="S111" i="78" s="1"/>
  <c r="S118" i="78" s="1"/>
  <c r="S95" i="78"/>
  <c r="P35" i="78"/>
  <c r="P36" i="78"/>
  <c r="P62" i="78"/>
  <c r="P37" i="78"/>
  <c r="P38" i="78"/>
  <c r="P39" i="78"/>
  <c r="P33" i="78"/>
  <c r="P40" i="78"/>
  <c r="P41" i="78"/>
  <c r="P34" i="78"/>
  <c r="Q63" i="78"/>
  <c r="Q64" i="78"/>
  <c r="Q65" i="78"/>
  <c r="Q66" i="78"/>
  <c r="Q75" i="78"/>
  <c r="R63" i="78"/>
  <c r="R69" i="78" s="1"/>
  <c r="R106" i="78" s="1"/>
  <c r="R64" i="78"/>
  <c r="R65" i="78"/>
  <c r="R66" i="78"/>
  <c r="R75" i="78"/>
  <c r="L32" i="78"/>
  <c r="K66" i="78"/>
  <c r="K75" i="78"/>
  <c r="K65" i="78"/>
  <c r="K63" i="78"/>
  <c r="K64" i="78"/>
  <c r="T100" i="78"/>
  <c r="T108" i="78" s="1"/>
  <c r="L100" i="78"/>
  <c r="L108" i="78" s="1"/>
  <c r="S63" i="78"/>
  <c r="S64" i="78"/>
  <c r="S65" i="78"/>
  <c r="S66" i="78"/>
  <c r="S75" i="78"/>
  <c r="N100" i="78"/>
  <c r="N108" i="78" s="1"/>
  <c r="O32" i="78"/>
  <c r="T63" i="78"/>
  <c r="T64" i="78"/>
  <c r="T65" i="78"/>
  <c r="T66" i="78"/>
  <c r="T75" i="78"/>
  <c r="T63" i="74"/>
  <c r="T64" i="74"/>
  <c r="T65" i="74"/>
  <c r="T66" i="74"/>
  <c r="T75" i="74"/>
  <c r="M40" i="74"/>
  <c r="M41" i="74"/>
  <c r="M34" i="74"/>
  <c r="M35" i="74"/>
  <c r="M33" i="74"/>
  <c r="M36" i="74"/>
  <c r="M39" i="74"/>
  <c r="M62" i="74"/>
  <c r="M37" i="74"/>
  <c r="M38" i="74"/>
  <c r="S63" i="74"/>
  <c r="S64" i="74"/>
  <c r="S65" i="74"/>
  <c r="S66" i="74"/>
  <c r="S75" i="74"/>
  <c r="R36" i="74"/>
  <c r="R35" i="74"/>
  <c r="R62" i="74"/>
  <c r="R37" i="74"/>
  <c r="R38" i="74"/>
  <c r="R39" i="74"/>
  <c r="R33" i="74"/>
  <c r="R40" i="74"/>
  <c r="R41" i="74"/>
  <c r="R34" i="74"/>
  <c r="M100" i="74"/>
  <c r="M108" i="74" s="1"/>
  <c r="N75" i="74"/>
  <c r="N63" i="74"/>
  <c r="N64" i="74"/>
  <c r="N65" i="74"/>
  <c r="N66" i="74"/>
  <c r="R59" i="74"/>
  <c r="R105" i="74" s="1"/>
  <c r="L100" i="74"/>
  <c r="L108" i="74" s="1"/>
  <c r="L39" i="74"/>
  <c r="L33" i="74"/>
  <c r="L40" i="74"/>
  <c r="L41" i="74"/>
  <c r="L34" i="74"/>
  <c r="L35" i="74"/>
  <c r="L36" i="74"/>
  <c r="L62" i="74"/>
  <c r="L37" i="74"/>
  <c r="L38" i="74"/>
  <c r="Q36" i="74"/>
  <c r="Q62" i="74"/>
  <c r="Q37" i="74"/>
  <c r="Q38" i="74"/>
  <c r="Q39" i="74"/>
  <c r="Q33" i="74"/>
  <c r="Q40" i="74"/>
  <c r="Q41" i="74"/>
  <c r="Q34" i="74"/>
  <c r="Q35" i="74"/>
  <c r="P35" i="74"/>
  <c r="P36" i="74"/>
  <c r="P34" i="74"/>
  <c r="P62" i="74"/>
  <c r="P37" i="74"/>
  <c r="P38" i="74"/>
  <c r="P39" i="74"/>
  <c r="P33" i="74"/>
  <c r="P41" i="74"/>
  <c r="P40" i="74"/>
  <c r="P103" i="74"/>
  <c r="P111" i="74" s="1"/>
  <c r="P118" i="74" s="1"/>
  <c r="P95" i="74"/>
  <c r="P100" i="74" s="1"/>
  <c r="P108" i="74" s="1"/>
  <c r="P96" i="74"/>
  <c r="P97" i="74"/>
  <c r="Q95" i="74"/>
  <c r="Q103" i="74"/>
  <c r="Q111" i="74" s="1"/>
  <c r="Q118" i="74" s="1"/>
  <c r="Q96" i="74"/>
  <c r="Q97" i="74"/>
  <c r="O75" i="74"/>
  <c r="O63" i="74"/>
  <c r="O64" i="74"/>
  <c r="O65" i="74"/>
  <c r="O66" i="74"/>
  <c r="P59" i="74"/>
  <c r="P105" i="74" s="1"/>
  <c r="S100" i="74"/>
  <c r="S108" i="74" s="1"/>
  <c r="N100" i="74"/>
  <c r="N108" i="74" s="1"/>
  <c r="T96" i="74"/>
  <c r="T97" i="74"/>
  <c r="T103" i="74"/>
  <c r="T111" i="74" s="1"/>
  <c r="T118" i="74" s="1"/>
  <c r="T95" i="74"/>
  <c r="K66" i="74"/>
  <c r="K75" i="74"/>
  <c r="K64" i="74"/>
  <c r="K65" i="74"/>
  <c r="K63" i="74"/>
  <c r="R96" i="74"/>
  <c r="R103" i="74"/>
  <c r="R111" i="74" s="1"/>
  <c r="R118" i="74" s="1"/>
  <c r="R97" i="74"/>
  <c r="R95" i="74"/>
  <c r="R100" i="74" s="1"/>
  <c r="R108" i="74" s="1"/>
  <c r="P59" i="77"/>
  <c r="P105" i="77" s="1"/>
  <c r="T63" i="77"/>
  <c r="T64" i="77"/>
  <c r="T65" i="77"/>
  <c r="T66" i="77"/>
  <c r="T75" i="77"/>
  <c r="M100" i="77"/>
  <c r="M108" i="77" s="1"/>
  <c r="N41" i="77"/>
  <c r="N34" i="77"/>
  <c r="N35" i="77"/>
  <c r="N39" i="77"/>
  <c r="N33" i="77"/>
  <c r="N36" i="77"/>
  <c r="N62" i="77"/>
  <c r="N37" i="77"/>
  <c r="N38" i="77"/>
  <c r="N40" i="77"/>
  <c r="K39" i="77"/>
  <c r="K33" i="77"/>
  <c r="K40" i="77"/>
  <c r="K41" i="77"/>
  <c r="K34" i="77"/>
  <c r="K38" i="77"/>
  <c r="K35" i="77"/>
  <c r="K36" i="77"/>
  <c r="K62" i="77"/>
  <c r="K37" i="77"/>
  <c r="L39" i="77"/>
  <c r="L33" i="77"/>
  <c r="L40" i="77"/>
  <c r="L41" i="77"/>
  <c r="L34" i="77"/>
  <c r="L35" i="77"/>
  <c r="L36" i="77"/>
  <c r="L62" i="77"/>
  <c r="L37" i="77"/>
  <c r="L38" i="77"/>
  <c r="S100" i="77"/>
  <c r="S108" i="77" s="1"/>
  <c r="N100" i="77"/>
  <c r="N108" i="77" s="1"/>
  <c r="Q95" i="77"/>
  <c r="Q100" i="77" s="1"/>
  <c r="Q108" i="77" s="1"/>
  <c r="Q96" i="77"/>
  <c r="Q97" i="77"/>
  <c r="Q103" i="77"/>
  <c r="Q111" i="77" s="1"/>
  <c r="Q118" i="77" s="1"/>
  <c r="S62" i="77"/>
  <c r="S37" i="77"/>
  <c r="S38" i="77"/>
  <c r="S39" i="77"/>
  <c r="S33" i="77"/>
  <c r="S40" i="77"/>
  <c r="S36" i="77"/>
  <c r="S41" i="77"/>
  <c r="S34" i="77"/>
  <c r="S35" i="77"/>
  <c r="T96" i="77"/>
  <c r="T97" i="77"/>
  <c r="T103" i="77"/>
  <c r="T111" i="77" s="1"/>
  <c r="T118" i="77" s="1"/>
  <c r="T95" i="77"/>
  <c r="M75" i="77"/>
  <c r="M63" i="77"/>
  <c r="M66" i="77"/>
  <c r="M64" i="77"/>
  <c r="M65" i="77"/>
  <c r="R36" i="77"/>
  <c r="R35" i="77"/>
  <c r="R62" i="77"/>
  <c r="R37" i="77"/>
  <c r="R38" i="77"/>
  <c r="R39" i="77"/>
  <c r="R33" i="77"/>
  <c r="R40" i="77"/>
  <c r="R41" i="77"/>
  <c r="R34" i="77"/>
  <c r="L100" i="77"/>
  <c r="L108" i="77" s="1"/>
  <c r="O100" i="77"/>
  <c r="O108" i="77" s="1"/>
  <c r="P35" i="77"/>
  <c r="P36" i="77"/>
  <c r="P62" i="77"/>
  <c r="P37" i="77"/>
  <c r="P41" i="77"/>
  <c r="P34" i="77"/>
  <c r="P38" i="77"/>
  <c r="P39" i="77"/>
  <c r="P33" i="77"/>
  <c r="P40" i="77"/>
  <c r="P103" i="77"/>
  <c r="P111" i="77" s="1"/>
  <c r="P118" i="77" s="1"/>
  <c r="P95" i="77"/>
  <c r="P96" i="77"/>
  <c r="P97" i="77"/>
  <c r="Q32" i="77"/>
  <c r="O32" i="77"/>
  <c r="Q95" i="76"/>
  <c r="Q96" i="76"/>
  <c r="Q97" i="76"/>
  <c r="Q103" i="76"/>
  <c r="Q111" i="76" s="1"/>
  <c r="Q118" i="76" s="1"/>
  <c r="N41" i="76"/>
  <c r="N34" i="76"/>
  <c r="N35" i="76"/>
  <c r="N36" i="76"/>
  <c r="N62" i="76"/>
  <c r="N37" i="76"/>
  <c r="N38" i="76"/>
  <c r="N40" i="76"/>
  <c r="N39" i="76"/>
  <c r="N33" i="76"/>
  <c r="K39" i="76"/>
  <c r="K33" i="76"/>
  <c r="K40" i="76"/>
  <c r="K38" i="76"/>
  <c r="K41" i="76"/>
  <c r="K34" i="76"/>
  <c r="K35" i="76"/>
  <c r="K36" i="76"/>
  <c r="K62" i="76"/>
  <c r="K37" i="76"/>
  <c r="P103" i="76"/>
  <c r="P111" i="76" s="1"/>
  <c r="P118" i="76" s="1"/>
  <c r="P95" i="76"/>
  <c r="P96" i="76"/>
  <c r="P97" i="76"/>
  <c r="T96" i="76"/>
  <c r="T97" i="76"/>
  <c r="T103" i="76"/>
  <c r="T111" i="76" s="1"/>
  <c r="T118" i="76" s="1"/>
  <c r="T95" i="76"/>
  <c r="T100" i="76" s="1"/>
  <c r="T108" i="76" s="1"/>
  <c r="R96" i="76"/>
  <c r="R95" i="76"/>
  <c r="R97" i="76"/>
  <c r="R103" i="76"/>
  <c r="R111" i="76" s="1"/>
  <c r="R118" i="76" s="1"/>
  <c r="R36" i="76"/>
  <c r="R62" i="76"/>
  <c r="R37" i="76"/>
  <c r="R38" i="76"/>
  <c r="R39" i="76"/>
  <c r="R33" i="76"/>
  <c r="R40" i="76"/>
  <c r="R41" i="76"/>
  <c r="R34" i="76"/>
  <c r="R35" i="76"/>
  <c r="Q36" i="76"/>
  <c r="Q62" i="76"/>
  <c r="Q37" i="76"/>
  <c r="Q38" i="76"/>
  <c r="Q39" i="76"/>
  <c r="Q33" i="76"/>
  <c r="Q35" i="76"/>
  <c r="Q40" i="76"/>
  <c r="Q41" i="76"/>
  <c r="Q34" i="76"/>
  <c r="O63" i="76"/>
  <c r="O64" i="76"/>
  <c r="O65" i="76"/>
  <c r="O66" i="76"/>
  <c r="O75" i="76"/>
  <c r="M75" i="76"/>
  <c r="M63" i="76"/>
  <c r="M64" i="76"/>
  <c r="M65" i="76"/>
  <c r="M66" i="76"/>
  <c r="L59" i="76"/>
  <c r="L105" i="76" s="1"/>
  <c r="P35" i="76"/>
  <c r="P36" i="76"/>
  <c r="P62" i="76"/>
  <c r="P37" i="76"/>
  <c r="P38" i="76"/>
  <c r="P39" i="76"/>
  <c r="P33" i="76"/>
  <c r="P40" i="76"/>
  <c r="P41" i="76"/>
  <c r="P34" i="76"/>
  <c r="R59" i="76"/>
  <c r="R105" i="76" s="1"/>
  <c r="L100" i="76"/>
  <c r="L108" i="76" s="1"/>
  <c r="L32" i="76"/>
  <c r="O103" i="76"/>
  <c r="O111" i="76" s="1"/>
  <c r="O118" i="76" s="1"/>
  <c r="O95" i="76"/>
  <c r="O96" i="76"/>
  <c r="O97" i="76"/>
  <c r="P59" i="76"/>
  <c r="P105" i="76" s="1"/>
  <c r="T62" i="76"/>
  <c r="T37" i="76"/>
  <c r="T38" i="76"/>
  <c r="T39" i="76"/>
  <c r="T33" i="76"/>
  <c r="T40" i="76"/>
  <c r="T41" i="76"/>
  <c r="T34" i="76"/>
  <c r="T35" i="76"/>
  <c r="T36" i="76"/>
  <c r="S63" i="76"/>
  <c r="S64" i="76"/>
  <c r="S65" i="76"/>
  <c r="S66" i="76"/>
  <c r="S75" i="76"/>
  <c r="L95" i="75"/>
  <c r="L97" i="75"/>
  <c r="L96" i="75"/>
  <c r="L103" i="75"/>
  <c r="L111" i="75" s="1"/>
  <c r="L118" i="75" s="1"/>
  <c r="N41" i="75"/>
  <c r="N34" i="75"/>
  <c r="N35" i="75"/>
  <c r="N62" i="75"/>
  <c r="N37" i="75"/>
  <c r="N39" i="75"/>
  <c r="N33" i="75"/>
  <c r="N40" i="75"/>
  <c r="N36" i="75"/>
  <c r="N38" i="75"/>
  <c r="L39" i="75"/>
  <c r="L33" i="75"/>
  <c r="L40" i="75"/>
  <c r="L41" i="75"/>
  <c r="L34" i="75"/>
  <c r="L36" i="75"/>
  <c r="L38" i="75"/>
  <c r="L62" i="75"/>
  <c r="L37" i="75"/>
  <c r="L35" i="75"/>
  <c r="P35" i="75"/>
  <c r="P36" i="75"/>
  <c r="P38" i="75"/>
  <c r="P40" i="75"/>
  <c r="P41" i="75"/>
  <c r="P34" i="75"/>
  <c r="P37" i="75"/>
  <c r="P62" i="75"/>
  <c r="P39" i="75"/>
  <c r="P33" i="75"/>
  <c r="T96" i="75"/>
  <c r="T97" i="75"/>
  <c r="T95" i="75"/>
  <c r="T100" i="75" s="1"/>
  <c r="T108" i="75" s="1"/>
  <c r="T103" i="75"/>
  <c r="T111" i="75" s="1"/>
  <c r="T118" i="75" s="1"/>
  <c r="N103" i="75"/>
  <c r="N111" i="75" s="1"/>
  <c r="N118" i="75" s="1"/>
  <c r="N95" i="75"/>
  <c r="N96" i="75"/>
  <c r="N97" i="75"/>
  <c r="R36" i="75"/>
  <c r="R62" i="75"/>
  <c r="R37" i="75"/>
  <c r="R39" i="75"/>
  <c r="R33" i="75"/>
  <c r="R35" i="75"/>
  <c r="R34" i="75"/>
  <c r="R41" i="75"/>
  <c r="R38" i="75"/>
  <c r="R40" i="75"/>
  <c r="O100" i="75"/>
  <c r="O108" i="75" s="1"/>
  <c r="K39" i="75"/>
  <c r="K33" i="75"/>
  <c r="K40" i="75"/>
  <c r="K41" i="75"/>
  <c r="K35" i="75"/>
  <c r="K62" i="75"/>
  <c r="K37" i="75"/>
  <c r="K34" i="75"/>
  <c r="K36" i="75"/>
  <c r="K38" i="75"/>
  <c r="Q63" i="75"/>
  <c r="Q65" i="75"/>
  <c r="Q66" i="75"/>
  <c r="Q75" i="75"/>
  <c r="Q64" i="75"/>
  <c r="R96" i="75"/>
  <c r="R97" i="75"/>
  <c r="R103" i="75"/>
  <c r="R111" i="75" s="1"/>
  <c r="R118" i="75" s="1"/>
  <c r="R95" i="75"/>
  <c r="R100" i="75" s="1"/>
  <c r="R108" i="75" s="1"/>
  <c r="M103" i="75"/>
  <c r="M111" i="75" s="1"/>
  <c r="M118" i="75" s="1"/>
  <c r="M96" i="75"/>
  <c r="M97" i="75"/>
  <c r="M95" i="75"/>
  <c r="M100" i="75" s="1"/>
  <c r="M108" i="75" s="1"/>
  <c r="P59" i="75"/>
  <c r="P105" i="75" s="1"/>
  <c r="S62" i="75"/>
  <c r="S37" i="75"/>
  <c r="S39" i="75"/>
  <c r="S33" i="75"/>
  <c r="S40" i="75"/>
  <c r="S35" i="75"/>
  <c r="S34" i="75"/>
  <c r="S36" i="75"/>
  <c r="S41" i="75"/>
  <c r="S38" i="75"/>
  <c r="Q100" i="75"/>
  <c r="Q108" i="75" s="1"/>
  <c r="M40" i="75"/>
  <c r="M41" i="75"/>
  <c r="M34" i="75"/>
  <c r="M36" i="75"/>
  <c r="M62" i="75"/>
  <c r="M38" i="75"/>
  <c r="M37" i="75"/>
  <c r="M35" i="75"/>
  <c r="M39" i="75"/>
  <c r="M33" i="75"/>
  <c r="T62" i="75"/>
  <c r="T37" i="75"/>
  <c r="T38" i="75"/>
  <c r="T40" i="75"/>
  <c r="T41" i="75"/>
  <c r="T34" i="75"/>
  <c r="T36" i="75"/>
  <c r="T39" i="75"/>
  <c r="T33" i="75"/>
  <c r="T35" i="75"/>
  <c r="O35" i="75"/>
  <c r="O62" i="75"/>
  <c r="O37" i="75"/>
  <c r="O39" i="75"/>
  <c r="O33" i="75"/>
  <c r="O40" i="75"/>
  <c r="O34" i="75"/>
  <c r="O36" i="75"/>
  <c r="O38" i="75"/>
  <c r="O41" i="75"/>
  <c r="T59" i="75"/>
  <c r="T105" i="75" s="1"/>
  <c r="P103" i="75"/>
  <c r="P111" i="75" s="1"/>
  <c r="P118" i="75" s="1"/>
  <c r="P95" i="75"/>
  <c r="P97" i="75"/>
  <c r="P96" i="75"/>
  <c r="J83" i="72"/>
  <c r="O17" i="72"/>
  <c r="L23" i="72"/>
  <c r="L27" i="72" s="1"/>
  <c r="T17" i="72"/>
  <c r="S23" i="72"/>
  <c r="S27" i="72" s="1"/>
  <c r="N25" i="72"/>
  <c r="N31" i="72" s="1"/>
  <c r="N43" i="72" s="1"/>
  <c r="N48" i="72" s="1"/>
  <c r="J33" i="72"/>
  <c r="J57" i="72" s="1"/>
  <c r="T57" i="72" s="1"/>
  <c r="M50" i="72"/>
  <c r="M51" i="72"/>
  <c r="M47" i="72"/>
  <c r="M53" i="72"/>
  <c r="M58" i="72" s="1"/>
  <c r="M48" i="72"/>
  <c r="M44" i="72"/>
  <c r="M46" i="72"/>
  <c r="M55" i="72"/>
  <c r="M61" i="72" s="1"/>
  <c r="M71" i="72" s="1"/>
  <c r="M85" i="72" s="1"/>
  <c r="M89" i="72" s="1"/>
  <c r="M94" i="72" s="1"/>
  <c r="M49" i="72"/>
  <c r="M45" i="72"/>
  <c r="T104" i="72"/>
  <c r="T67" i="72"/>
  <c r="T68" i="72" s="1"/>
  <c r="T27" i="72"/>
  <c r="T73" i="72"/>
  <c r="T74" i="72" s="1"/>
  <c r="T28" i="72"/>
  <c r="T29" i="72"/>
  <c r="T56" i="72" s="1"/>
  <c r="O27" i="72"/>
  <c r="O73" i="72"/>
  <c r="O74" i="72" s="1"/>
  <c r="O28" i="72"/>
  <c r="O29" i="72"/>
  <c r="O56" i="72" s="1"/>
  <c r="O104" i="72"/>
  <c r="O67" i="72"/>
  <c r="O68" i="72" s="1"/>
  <c r="J64" i="72"/>
  <c r="K67" i="72"/>
  <c r="K68" i="72" s="1"/>
  <c r="K27" i="72"/>
  <c r="K104" i="72"/>
  <c r="K73" i="72"/>
  <c r="K74" i="72" s="1"/>
  <c r="K28" i="72"/>
  <c r="K29" i="72"/>
  <c r="K56" i="72" s="1"/>
  <c r="L50" i="72"/>
  <c r="L46" i="72"/>
  <c r="L51" i="72"/>
  <c r="L47" i="72"/>
  <c r="L53" i="72"/>
  <c r="L58" i="72" s="1"/>
  <c r="L48" i="72"/>
  <c r="L44" i="72"/>
  <c r="L55" i="72"/>
  <c r="L61" i="72" s="1"/>
  <c r="L71" i="72" s="1"/>
  <c r="L85" i="72" s="1"/>
  <c r="L89" i="72" s="1"/>
  <c r="L94" i="72" s="1"/>
  <c r="L49" i="72"/>
  <c r="L45" i="72"/>
  <c r="N53" i="72"/>
  <c r="N58" i="72" s="1"/>
  <c r="M23" i="72"/>
  <c r="O25" i="72"/>
  <c r="O31" i="72" s="1"/>
  <c r="O43" i="72" s="1"/>
  <c r="L104" i="72"/>
  <c r="N23" i="72"/>
  <c r="P25" i="72"/>
  <c r="P31" i="72" s="1"/>
  <c r="P43" i="72" s="1"/>
  <c r="Q25" i="72"/>
  <c r="Q31" i="72" s="1"/>
  <c r="Q43" i="72" s="1"/>
  <c r="L17" i="72"/>
  <c r="P23" i="72"/>
  <c r="R25" i="72"/>
  <c r="R31" i="72" s="1"/>
  <c r="R43" i="72" s="1"/>
  <c r="M17" i="72"/>
  <c r="Q23" i="72"/>
  <c r="S25" i="72"/>
  <c r="S31" i="72" s="1"/>
  <c r="S43" i="72" s="1"/>
  <c r="R23" i="72"/>
  <c r="T25" i="72"/>
  <c r="T31" i="72" s="1"/>
  <c r="T43" i="72" s="1"/>
  <c r="L28" i="72"/>
  <c r="L73" i="72"/>
  <c r="L74" i="72" s="1"/>
  <c r="S67" i="72"/>
  <c r="S68" i="72" s="1"/>
  <c r="O63" i="80" l="1"/>
  <c r="O64" i="80"/>
  <c r="O65" i="80"/>
  <c r="O66" i="80"/>
  <c r="O75" i="80"/>
  <c r="Q79" i="80"/>
  <c r="Q80" i="80"/>
  <c r="Q81" i="80"/>
  <c r="Q82" i="80"/>
  <c r="Q78" i="80"/>
  <c r="Q76" i="80"/>
  <c r="Q77" i="80"/>
  <c r="S100" i="80"/>
  <c r="S108" i="80" s="1"/>
  <c r="O100" i="80"/>
  <c r="O108" i="80" s="1"/>
  <c r="Q69" i="80"/>
  <c r="Q106" i="80" s="1"/>
  <c r="T82" i="80"/>
  <c r="T76" i="80"/>
  <c r="T77" i="80"/>
  <c r="T78" i="80"/>
  <c r="T79" i="80"/>
  <c r="T81" i="80"/>
  <c r="T80" i="80"/>
  <c r="N100" i="80"/>
  <c r="N108" i="80" s="1"/>
  <c r="S81" i="80"/>
  <c r="S82" i="80"/>
  <c r="S80" i="80"/>
  <c r="S76" i="80"/>
  <c r="S77" i="80"/>
  <c r="S78" i="80"/>
  <c r="S79" i="80"/>
  <c r="K66" i="80"/>
  <c r="K75" i="80"/>
  <c r="K65" i="80"/>
  <c r="K63" i="80"/>
  <c r="K69" i="80" s="1"/>
  <c r="K106" i="80" s="1"/>
  <c r="K64" i="80"/>
  <c r="R63" i="80"/>
  <c r="R64" i="80"/>
  <c r="R65" i="80"/>
  <c r="R66" i="80"/>
  <c r="R75" i="80"/>
  <c r="T69" i="80"/>
  <c r="T106" i="80" s="1"/>
  <c r="P36" i="80"/>
  <c r="P35" i="80"/>
  <c r="P37" i="80"/>
  <c r="P62" i="80"/>
  <c r="P38" i="80"/>
  <c r="P39" i="80"/>
  <c r="P33" i="80"/>
  <c r="P40" i="80"/>
  <c r="P41" i="80"/>
  <c r="P34" i="80"/>
  <c r="P100" i="80"/>
  <c r="P108" i="80" s="1"/>
  <c r="S69" i="80"/>
  <c r="S106" i="80" s="1"/>
  <c r="M75" i="80"/>
  <c r="M63" i="80"/>
  <c r="M64" i="80"/>
  <c r="M65" i="80"/>
  <c r="M66" i="80"/>
  <c r="N35" i="80"/>
  <c r="N36" i="80"/>
  <c r="N37" i="80"/>
  <c r="N62" i="80"/>
  <c r="N41" i="80"/>
  <c r="N38" i="80"/>
  <c r="N34" i="80"/>
  <c r="N39" i="80"/>
  <c r="N33" i="80"/>
  <c r="N40" i="80"/>
  <c r="L75" i="80"/>
  <c r="L63" i="80"/>
  <c r="L69" i="80" s="1"/>
  <c r="L106" i="80" s="1"/>
  <c r="L66" i="80"/>
  <c r="L64" i="80"/>
  <c r="L65" i="80"/>
  <c r="R100" i="79"/>
  <c r="R108" i="79" s="1"/>
  <c r="R80" i="79"/>
  <c r="R81" i="79"/>
  <c r="R82" i="79"/>
  <c r="R76" i="79"/>
  <c r="R77" i="79"/>
  <c r="R78" i="79"/>
  <c r="R79" i="79"/>
  <c r="S69" i="79"/>
  <c r="S106" i="79" s="1"/>
  <c r="P63" i="79"/>
  <c r="P69" i="79" s="1"/>
  <c r="P106" i="79" s="1"/>
  <c r="P64" i="79"/>
  <c r="P65" i="79"/>
  <c r="P66" i="79"/>
  <c r="P75" i="79"/>
  <c r="M41" i="79"/>
  <c r="M34" i="79"/>
  <c r="M40" i="79"/>
  <c r="M35" i="79"/>
  <c r="M36" i="79"/>
  <c r="M37" i="79"/>
  <c r="M62" i="79"/>
  <c r="M38" i="79"/>
  <c r="M39" i="79"/>
  <c r="M33" i="79"/>
  <c r="T63" i="79"/>
  <c r="T64" i="79"/>
  <c r="T65" i="79"/>
  <c r="T66" i="79"/>
  <c r="T75" i="79"/>
  <c r="K66" i="79"/>
  <c r="K75" i="79"/>
  <c r="K65" i="79"/>
  <c r="K63" i="79"/>
  <c r="K64" i="79"/>
  <c r="N41" i="79"/>
  <c r="N35" i="79"/>
  <c r="N34" i="79"/>
  <c r="N36" i="79"/>
  <c r="N37" i="79"/>
  <c r="N62" i="79"/>
  <c r="N38" i="79"/>
  <c r="N39" i="79"/>
  <c r="N33" i="79"/>
  <c r="N40" i="79"/>
  <c r="O35" i="79"/>
  <c r="O36" i="79"/>
  <c r="O37" i="79"/>
  <c r="O62" i="79"/>
  <c r="O38" i="79"/>
  <c r="O39" i="79"/>
  <c r="O33" i="79"/>
  <c r="O40" i="79"/>
  <c r="O41" i="79"/>
  <c r="O34" i="79"/>
  <c r="L75" i="79"/>
  <c r="L66" i="79"/>
  <c r="L63" i="79"/>
  <c r="L64" i="79"/>
  <c r="L65" i="79"/>
  <c r="O100" i="79"/>
  <c r="O108" i="79" s="1"/>
  <c r="Q36" i="79"/>
  <c r="Q37" i="79"/>
  <c r="Q62" i="79"/>
  <c r="Q38" i="79"/>
  <c r="Q39" i="79"/>
  <c r="Q33" i="79"/>
  <c r="Q40" i="79"/>
  <c r="Q41" i="79"/>
  <c r="Q34" i="79"/>
  <c r="Q35" i="79"/>
  <c r="S100" i="79"/>
  <c r="S108" i="79" s="1"/>
  <c r="S81" i="79"/>
  <c r="S82" i="79"/>
  <c r="S80" i="79"/>
  <c r="S76" i="79"/>
  <c r="S77" i="79"/>
  <c r="S78" i="79"/>
  <c r="S79" i="79"/>
  <c r="Q79" i="78"/>
  <c r="Q80" i="78"/>
  <c r="Q81" i="78"/>
  <c r="Q82" i="78"/>
  <c r="Q76" i="78"/>
  <c r="Q77" i="78"/>
  <c r="Q78" i="78"/>
  <c r="P63" i="78"/>
  <c r="P64" i="78"/>
  <c r="P65" i="78"/>
  <c r="P66" i="78"/>
  <c r="P75" i="78"/>
  <c r="T69" i="78"/>
  <c r="T106" i="78" s="1"/>
  <c r="K69" i="78"/>
  <c r="K106" i="78" s="1"/>
  <c r="O35" i="78"/>
  <c r="O36" i="78"/>
  <c r="O62" i="78"/>
  <c r="O37" i="78"/>
  <c r="O41" i="78"/>
  <c r="O34" i="78"/>
  <c r="O38" i="78"/>
  <c r="O39" i="78"/>
  <c r="O33" i="78"/>
  <c r="O40" i="78"/>
  <c r="N75" i="78"/>
  <c r="N63" i="78"/>
  <c r="N64" i="78"/>
  <c r="N65" i="78"/>
  <c r="N66" i="78"/>
  <c r="K76" i="78"/>
  <c r="K77" i="78"/>
  <c r="K78" i="78"/>
  <c r="K79" i="78"/>
  <c r="K80" i="78"/>
  <c r="K81" i="78"/>
  <c r="K82" i="78"/>
  <c r="S100" i="78"/>
  <c r="S108" i="78" s="1"/>
  <c r="S81" i="78"/>
  <c r="S80" i="78"/>
  <c r="S82" i="78"/>
  <c r="S76" i="78"/>
  <c r="S77" i="78"/>
  <c r="S78" i="78"/>
  <c r="S79" i="78"/>
  <c r="Q69" i="78"/>
  <c r="Q106" i="78" s="1"/>
  <c r="L39" i="78"/>
  <c r="L33" i="78"/>
  <c r="L40" i="78"/>
  <c r="L41" i="78"/>
  <c r="L34" i="78"/>
  <c r="L35" i="78"/>
  <c r="L36" i="78"/>
  <c r="L62" i="78"/>
  <c r="L37" i="78"/>
  <c r="L38" i="78"/>
  <c r="M75" i="78"/>
  <c r="M63" i="78"/>
  <c r="M64" i="78"/>
  <c r="M65" i="78"/>
  <c r="M66" i="78"/>
  <c r="O100" i="78"/>
  <c r="O108" i="78" s="1"/>
  <c r="R80" i="78"/>
  <c r="R81" i="78"/>
  <c r="R82" i="78"/>
  <c r="R79" i="78"/>
  <c r="R76" i="78"/>
  <c r="R77" i="78"/>
  <c r="R78" i="78"/>
  <c r="S69" i="78"/>
  <c r="S106" i="78" s="1"/>
  <c r="T82" i="78"/>
  <c r="T81" i="78"/>
  <c r="T76" i="78"/>
  <c r="T77" i="78"/>
  <c r="T78" i="78"/>
  <c r="T79" i="78"/>
  <c r="T80" i="78"/>
  <c r="S81" i="74"/>
  <c r="S82" i="74"/>
  <c r="S80" i="74"/>
  <c r="S76" i="74"/>
  <c r="S83" i="74" s="1"/>
  <c r="S90" i="74" s="1"/>
  <c r="S92" i="74" s="1"/>
  <c r="S107" i="74" s="1"/>
  <c r="S77" i="74"/>
  <c r="S78" i="74"/>
  <c r="S79" i="74"/>
  <c r="T81" i="74"/>
  <c r="T82" i="74"/>
  <c r="T80" i="74"/>
  <c r="T76" i="74"/>
  <c r="T77" i="74"/>
  <c r="T78" i="74"/>
  <c r="T79" i="74"/>
  <c r="Q100" i="74"/>
  <c r="Q108" i="74" s="1"/>
  <c r="S69" i="74"/>
  <c r="S106" i="74" s="1"/>
  <c r="S109" i="74" s="1"/>
  <c r="P63" i="74"/>
  <c r="P64" i="74"/>
  <c r="P65" i="74"/>
  <c r="P66" i="74"/>
  <c r="P75" i="74"/>
  <c r="Q63" i="74"/>
  <c r="Q64" i="74"/>
  <c r="Q65" i="74"/>
  <c r="Q66" i="74"/>
  <c r="Q75" i="74"/>
  <c r="K69" i="74"/>
  <c r="K106" i="74" s="1"/>
  <c r="M75" i="74"/>
  <c r="M66" i="74"/>
  <c r="M63" i="74"/>
  <c r="M64" i="74"/>
  <c r="M65" i="74"/>
  <c r="T69" i="74"/>
  <c r="T106" i="74" s="1"/>
  <c r="R63" i="74"/>
  <c r="R64" i="74"/>
  <c r="R65" i="74"/>
  <c r="R66" i="74"/>
  <c r="R75" i="74"/>
  <c r="L75" i="74"/>
  <c r="L65" i="74"/>
  <c r="L66" i="74"/>
  <c r="L63" i="74"/>
  <c r="L64" i="74"/>
  <c r="N69" i="74"/>
  <c r="N106" i="74" s="1"/>
  <c r="O77" i="74"/>
  <c r="O76" i="74"/>
  <c r="O78" i="74"/>
  <c r="O79" i="74"/>
  <c r="O80" i="74"/>
  <c r="O81" i="74"/>
  <c r="O82" i="74"/>
  <c r="K82" i="74"/>
  <c r="K76" i="74"/>
  <c r="K77" i="74"/>
  <c r="K78" i="74"/>
  <c r="K79" i="74"/>
  <c r="K80" i="74"/>
  <c r="K81" i="74"/>
  <c r="T100" i="74"/>
  <c r="T108" i="74" s="1"/>
  <c r="O69" i="74"/>
  <c r="O106" i="74" s="1"/>
  <c r="N76" i="74"/>
  <c r="N77" i="74"/>
  <c r="N78" i="74"/>
  <c r="N79" i="74"/>
  <c r="N80" i="74"/>
  <c r="N81" i="74"/>
  <c r="N82" i="74"/>
  <c r="K66" i="77"/>
  <c r="K64" i="77"/>
  <c r="K75" i="77"/>
  <c r="K65" i="77"/>
  <c r="K63" i="77"/>
  <c r="T82" i="77"/>
  <c r="T80" i="77"/>
  <c r="T76" i="77"/>
  <c r="T77" i="77"/>
  <c r="T78" i="77"/>
  <c r="T81" i="77"/>
  <c r="T79" i="77"/>
  <c r="N75" i="77"/>
  <c r="N63" i="77"/>
  <c r="N69" i="77" s="1"/>
  <c r="N106" i="77" s="1"/>
  <c r="N64" i="77"/>
  <c r="N65" i="77"/>
  <c r="N66" i="77"/>
  <c r="M69" i="77"/>
  <c r="M106" i="77" s="1"/>
  <c r="L75" i="77"/>
  <c r="L65" i="77"/>
  <c r="L66" i="77"/>
  <c r="L63" i="77"/>
  <c r="L64" i="77"/>
  <c r="T69" i="77"/>
  <c r="T106" i="77" s="1"/>
  <c r="P100" i="77"/>
  <c r="P108" i="77" s="1"/>
  <c r="M76" i="77"/>
  <c r="M83" i="77" s="1"/>
  <c r="M90" i="77" s="1"/>
  <c r="M92" i="77" s="1"/>
  <c r="M107" i="77" s="1"/>
  <c r="M77" i="77"/>
  <c r="M78" i="77"/>
  <c r="M79" i="77"/>
  <c r="M80" i="77"/>
  <c r="M81" i="77"/>
  <c r="M82" i="77"/>
  <c r="T100" i="77"/>
  <c r="T108" i="77" s="1"/>
  <c r="O35" i="77"/>
  <c r="O34" i="77"/>
  <c r="O36" i="77"/>
  <c r="O62" i="77"/>
  <c r="O37" i="77"/>
  <c r="O40" i="77"/>
  <c r="O38" i="77"/>
  <c r="O41" i="77"/>
  <c r="O39" i="77"/>
  <c r="O33" i="77"/>
  <c r="S63" i="77"/>
  <c r="S64" i="77"/>
  <c r="S65" i="77"/>
  <c r="S66" i="77"/>
  <c r="S75" i="77"/>
  <c r="Q35" i="77"/>
  <c r="Q36" i="77"/>
  <c r="Q62" i="77"/>
  <c r="Q37" i="77"/>
  <c r="Q38" i="77"/>
  <c r="Q39" i="77"/>
  <c r="Q33" i="77"/>
  <c r="Q40" i="77"/>
  <c r="Q41" i="77"/>
  <c r="Q34" i="77"/>
  <c r="P63" i="77"/>
  <c r="P69" i="77" s="1"/>
  <c r="P106" i="77" s="1"/>
  <c r="P64" i="77"/>
  <c r="P65" i="77"/>
  <c r="P66" i="77"/>
  <c r="P75" i="77"/>
  <c r="R63" i="77"/>
  <c r="R64" i="77"/>
  <c r="R65" i="77"/>
  <c r="R66" i="77"/>
  <c r="R75" i="77"/>
  <c r="T63" i="76"/>
  <c r="T64" i="76"/>
  <c r="T65" i="76"/>
  <c r="T66" i="76"/>
  <c r="T75" i="76"/>
  <c r="S69" i="76"/>
  <c r="S106" i="76" s="1"/>
  <c r="M69" i="76"/>
  <c r="M106" i="76" s="1"/>
  <c r="N75" i="76"/>
  <c r="N63" i="76"/>
  <c r="N64" i="76"/>
  <c r="N65" i="76"/>
  <c r="N66" i="76"/>
  <c r="O100" i="76"/>
  <c r="O108" i="76" s="1"/>
  <c r="M76" i="76"/>
  <c r="M77" i="76"/>
  <c r="M78" i="76"/>
  <c r="M79" i="76"/>
  <c r="M80" i="76"/>
  <c r="M81" i="76"/>
  <c r="M82" i="76"/>
  <c r="R63" i="76"/>
  <c r="R64" i="76"/>
  <c r="R65" i="76"/>
  <c r="R66" i="76"/>
  <c r="R75" i="76"/>
  <c r="O77" i="76"/>
  <c r="O78" i="76"/>
  <c r="O79" i="76"/>
  <c r="O76" i="76"/>
  <c r="O80" i="76"/>
  <c r="O81" i="76"/>
  <c r="O82" i="76"/>
  <c r="L39" i="76"/>
  <c r="L33" i="76"/>
  <c r="L40" i="76"/>
  <c r="L41" i="76"/>
  <c r="L34" i="76"/>
  <c r="L35" i="76"/>
  <c r="L36" i="76"/>
  <c r="L62" i="76"/>
  <c r="L37" i="76"/>
  <c r="L38" i="76"/>
  <c r="P100" i="76"/>
  <c r="P108" i="76" s="1"/>
  <c r="P63" i="76"/>
  <c r="P64" i="76"/>
  <c r="P65" i="76"/>
  <c r="P66" i="76"/>
  <c r="P75" i="76"/>
  <c r="Q100" i="76"/>
  <c r="Q108" i="76" s="1"/>
  <c r="Q63" i="76"/>
  <c r="Q64" i="76"/>
  <c r="Q65" i="76"/>
  <c r="Q66" i="76"/>
  <c r="Q75" i="76"/>
  <c r="O69" i="76"/>
  <c r="O106" i="76" s="1"/>
  <c r="R100" i="76"/>
  <c r="R108" i="76" s="1"/>
  <c r="K66" i="76"/>
  <c r="K75" i="76"/>
  <c r="K65" i="76"/>
  <c r="K63" i="76"/>
  <c r="K64" i="76"/>
  <c r="S81" i="76"/>
  <c r="S82" i="76"/>
  <c r="S76" i="76"/>
  <c r="S83" i="76" s="1"/>
  <c r="S90" i="76" s="1"/>
  <c r="S92" i="76" s="1"/>
  <c r="S107" i="76" s="1"/>
  <c r="S77" i="76"/>
  <c r="S78" i="76"/>
  <c r="S79" i="76"/>
  <c r="S80" i="76"/>
  <c r="Q69" i="75"/>
  <c r="Q106" i="75" s="1"/>
  <c r="M75" i="75"/>
  <c r="M63" i="75"/>
  <c r="M69" i="75" s="1"/>
  <c r="M106" i="75" s="1"/>
  <c r="M65" i="75"/>
  <c r="M66" i="75"/>
  <c r="M64" i="75"/>
  <c r="L100" i="75"/>
  <c r="L108" i="75" s="1"/>
  <c r="K66" i="75"/>
  <c r="K75" i="75"/>
  <c r="K63" i="75"/>
  <c r="K64" i="75"/>
  <c r="K65" i="75"/>
  <c r="P100" i="75"/>
  <c r="P108" i="75" s="1"/>
  <c r="S63" i="75"/>
  <c r="S64" i="75"/>
  <c r="S65" i="75"/>
  <c r="S75" i="75"/>
  <c r="S66" i="75"/>
  <c r="L75" i="75"/>
  <c r="L64" i="75"/>
  <c r="L65" i="75"/>
  <c r="L66" i="75"/>
  <c r="L63" i="75"/>
  <c r="O63" i="75"/>
  <c r="O69" i="75" s="1"/>
  <c r="O106" i="75" s="1"/>
  <c r="O64" i="75"/>
  <c r="O65" i="75"/>
  <c r="O75" i="75"/>
  <c r="O66" i="75"/>
  <c r="Q79" i="75"/>
  <c r="Q80" i="75"/>
  <c r="Q81" i="75"/>
  <c r="Q76" i="75"/>
  <c r="Q77" i="75"/>
  <c r="Q78" i="75"/>
  <c r="Q82" i="75"/>
  <c r="R63" i="75"/>
  <c r="R69" i="75" s="1"/>
  <c r="R106" i="75" s="1"/>
  <c r="R64" i="75"/>
  <c r="R66" i="75"/>
  <c r="R75" i="75"/>
  <c r="R65" i="75"/>
  <c r="N100" i="75"/>
  <c r="N108" i="75" s="1"/>
  <c r="T63" i="75"/>
  <c r="T64" i="75"/>
  <c r="T65" i="75"/>
  <c r="T66" i="75"/>
  <c r="T75" i="75"/>
  <c r="P64" i="75"/>
  <c r="P65" i="75"/>
  <c r="P66" i="75"/>
  <c r="P75" i="75"/>
  <c r="P63" i="75"/>
  <c r="N63" i="75"/>
  <c r="N64" i="75"/>
  <c r="N66" i="75"/>
  <c r="N75" i="75"/>
  <c r="N65" i="75"/>
  <c r="L67" i="72"/>
  <c r="L68" i="72" s="1"/>
  <c r="S28" i="72"/>
  <c r="L29" i="72"/>
  <c r="L56" i="72" s="1"/>
  <c r="S73" i="72"/>
  <c r="S74" i="72" s="1"/>
  <c r="N47" i="72"/>
  <c r="N51" i="72"/>
  <c r="N46" i="72"/>
  <c r="O57" i="72"/>
  <c r="N50" i="72"/>
  <c r="P57" i="72"/>
  <c r="N45" i="72"/>
  <c r="S57" i="72"/>
  <c r="Q57" i="72"/>
  <c r="N44" i="72"/>
  <c r="M57" i="72"/>
  <c r="N49" i="72"/>
  <c r="J66" i="72"/>
  <c r="J69" i="72" s="1"/>
  <c r="N55" i="72"/>
  <c r="N61" i="72" s="1"/>
  <c r="N71" i="72" s="1"/>
  <c r="N85" i="72" s="1"/>
  <c r="N89" i="72" s="1"/>
  <c r="N94" i="72" s="1"/>
  <c r="N97" i="72" s="1"/>
  <c r="O32" i="72"/>
  <c r="O62" i="72" s="1"/>
  <c r="N57" i="72"/>
  <c r="K57" i="72"/>
  <c r="K59" i="72" s="1"/>
  <c r="K105" i="72" s="1"/>
  <c r="S104" i="72"/>
  <c r="S29" i="72"/>
  <c r="L57" i="72"/>
  <c r="Q53" i="72"/>
  <c r="Q58" i="72" s="1"/>
  <c r="Q48" i="72"/>
  <c r="Q44" i="72"/>
  <c r="Q55" i="72"/>
  <c r="Q61" i="72" s="1"/>
  <c r="Q71" i="72" s="1"/>
  <c r="Q85" i="72" s="1"/>
  <c r="Q89" i="72" s="1"/>
  <c r="Q94" i="72" s="1"/>
  <c r="Q49" i="72"/>
  <c r="Q45" i="72"/>
  <c r="Q50" i="72"/>
  <c r="Q46" i="72"/>
  <c r="Q51" i="72"/>
  <c r="Q47" i="72"/>
  <c r="M96" i="72"/>
  <c r="M97" i="72"/>
  <c r="M103" i="72"/>
  <c r="M111" i="72" s="1"/>
  <c r="M118" i="72" s="1"/>
  <c r="M95" i="72"/>
  <c r="R29" i="72"/>
  <c r="R56" i="72" s="1"/>
  <c r="R28" i="72"/>
  <c r="R104" i="72"/>
  <c r="R67" i="72"/>
  <c r="R68" i="72" s="1"/>
  <c r="R27" i="72"/>
  <c r="R73" i="72"/>
  <c r="R74" i="72" s="1"/>
  <c r="P53" i="72"/>
  <c r="P58" i="72" s="1"/>
  <c r="P48" i="72"/>
  <c r="P44" i="72"/>
  <c r="P55" i="72"/>
  <c r="P61" i="72" s="1"/>
  <c r="P71" i="72" s="1"/>
  <c r="P85" i="72" s="1"/>
  <c r="P89" i="72" s="1"/>
  <c r="P94" i="72" s="1"/>
  <c r="P47" i="72"/>
  <c r="P49" i="72"/>
  <c r="P45" i="72"/>
  <c r="P50" i="72"/>
  <c r="P46" i="72"/>
  <c r="P51" i="72"/>
  <c r="N96" i="72"/>
  <c r="N103" i="72"/>
  <c r="N111" i="72" s="1"/>
  <c r="N118" i="72" s="1"/>
  <c r="N95" i="72"/>
  <c r="T49" i="72"/>
  <c r="T45" i="72"/>
  <c r="T50" i="72"/>
  <c r="T46" i="72"/>
  <c r="T55" i="72"/>
  <c r="T61" i="72" s="1"/>
  <c r="T71" i="72" s="1"/>
  <c r="T85" i="72" s="1"/>
  <c r="T89" i="72" s="1"/>
  <c r="T94" i="72" s="1"/>
  <c r="T51" i="72"/>
  <c r="T47" i="72"/>
  <c r="T53" i="72"/>
  <c r="T58" i="72" s="1"/>
  <c r="T59" i="72" s="1"/>
  <c r="T105" i="72" s="1"/>
  <c r="T48" i="72"/>
  <c r="T44" i="72"/>
  <c r="L59" i="72"/>
  <c r="L105" i="72" s="1"/>
  <c r="S55" i="72"/>
  <c r="S61" i="72" s="1"/>
  <c r="S71" i="72" s="1"/>
  <c r="S85" i="72" s="1"/>
  <c r="S89" i="72" s="1"/>
  <c r="S94" i="72" s="1"/>
  <c r="S49" i="72"/>
  <c r="S45" i="72"/>
  <c r="S50" i="72"/>
  <c r="S46" i="72"/>
  <c r="S44" i="72"/>
  <c r="S48" i="72"/>
  <c r="S51" i="72"/>
  <c r="S47" i="72"/>
  <c r="S53" i="72"/>
  <c r="S58" i="72" s="1"/>
  <c r="N27" i="72"/>
  <c r="N29" i="72"/>
  <c r="N56" i="72" s="1"/>
  <c r="N73" i="72"/>
  <c r="N74" i="72" s="1"/>
  <c r="N28" i="72"/>
  <c r="N104" i="72"/>
  <c r="N67" i="72"/>
  <c r="N68" i="72" s="1"/>
  <c r="Q73" i="72"/>
  <c r="Q74" i="72" s="1"/>
  <c r="Q28" i="72"/>
  <c r="Q29" i="72"/>
  <c r="Q56" i="72" s="1"/>
  <c r="Q104" i="72"/>
  <c r="Q67" i="72"/>
  <c r="Q68" i="72" s="1"/>
  <c r="Q27" i="72"/>
  <c r="R57" i="72"/>
  <c r="L96" i="72"/>
  <c r="L97" i="72"/>
  <c r="L103" i="72"/>
  <c r="L111" i="72" s="1"/>
  <c r="L118" i="72" s="1"/>
  <c r="L95" i="72"/>
  <c r="L32" i="72"/>
  <c r="O35" i="72"/>
  <c r="T32" i="72"/>
  <c r="R48" i="72"/>
  <c r="R44" i="72"/>
  <c r="R55" i="72"/>
  <c r="R61" i="72" s="1"/>
  <c r="R71" i="72" s="1"/>
  <c r="R85" i="72" s="1"/>
  <c r="R89" i="72" s="1"/>
  <c r="R94" i="72" s="1"/>
  <c r="R49" i="72"/>
  <c r="R45" i="72"/>
  <c r="R50" i="72"/>
  <c r="R46" i="72"/>
  <c r="R51" i="72"/>
  <c r="R47" i="72"/>
  <c r="R53" i="72"/>
  <c r="R58" i="72" s="1"/>
  <c r="P73" i="72"/>
  <c r="P74" i="72" s="1"/>
  <c r="P28" i="72"/>
  <c r="P29" i="72"/>
  <c r="P56" i="72" s="1"/>
  <c r="P27" i="72"/>
  <c r="P104" i="72"/>
  <c r="P67" i="72"/>
  <c r="P68" i="72" s="1"/>
  <c r="O51" i="72"/>
  <c r="O47" i="72"/>
  <c r="O53" i="72"/>
  <c r="O58" i="72" s="1"/>
  <c r="O48" i="72"/>
  <c r="O44" i="72"/>
  <c r="O55" i="72"/>
  <c r="O61" i="72" s="1"/>
  <c r="O71" i="72" s="1"/>
  <c r="O85" i="72" s="1"/>
  <c r="O89" i="72" s="1"/>
  <c r="O94" i="72" s="1"/>
  <c r="O49" i="72"/>
  <c r="O45" i="72"/>
  <c r="O50" i="72"/>
  <c r="O46" i="72"/>
  <c r="K32" i="72"/>
  <c r="M28" i="72"/>
  <c r="M27" i="72"/>
  <c r="M73" i="72"/>
  <c r="M74" i="72" s="1"/>
  <c r="M29" i="72"/>
  <c r="M56" i="72" s="1"/>
  <c r="M104" i="72"/>
  <c r="M67" i="72"/>
  <c r="M68" i="72" s="1"/>
  <c r="M69" i="80" l="1"/>
  <c r="M106" i="80" s="1"/>
  <c r="L76" i="80"/>
  <c r="L77" i="80"/>
  <c r="L78" i="80"/>
  <c r="L79" i="80"/>
  <c r="L80" i="80"/>
  <c r="L81" i="80"/>
  <c r="L82" i="80"/>
  <c r="M76" i="80"/>
  <c r="M77" i="80"/>
  <c r="M78" i="80"/>
  <c r="M79" i="80"/>
  <c r="M80" i="80"/>
  <c r="M81" i="80"/>
  <c r="M82" i="80"/>
  <c r="T83" i="80"/>
  <c r="T90" i="80" s="1"/>
  <c r="T92" i="80" s="1"/>
  <c r="T107" i="80" s="1"/>
  <c r="T109" i="80" s="1"/>
  <c r="O77" i="80"/>
  <c r="O78" i="80"/>
  <c r="O79" i="80"/>
  <c r="O76" i="80"/>
  <c r="O80" i="80"/>
  <c r="O81" i="80"/>
  <c r="O82" i="80"/>
  <c r="R80" i="80"/>
  <c r="R81" i="80"/>
  <c r="R79" i="80"/>
  <c r="R82" i="80"/>
  <c r="R76" i="80"/>
  <c r="R77" i="80"/>
  <c r="R78" i="80"/>
  <c r="S83" i="80"/>
  <c r="S90" i="80" s="1"/>
  <c r="S92" i="80" s="1"/>
  <c r="S107" i="80" s="1"/>
  <c r="S109" i="80" s="1"/>
  <c r="Q109" i="80"/>
  <c r="N75" i="80"/>
  <c r="N63" i="80"/>
  <c r="N64" i="80"/>
  <c r="N65" i="80"/>
  <c r="N66" i="80"/>
  <c r="O69" i="80"/>
  <c r="O106" i="80" s="1"/>
  <c r="P63" i="80"/>
  <c r="P64" i="80"/>
  <c r="P65" i="80"/>
  <c r="P66" i="80"/>
  <c r="P75" i="80"/>
  <c r="K76" i="80"/>
  <c r="K83" i="80" s="1"/>
  <c r="K90" i="80" s="1"/>
  <c r="K92" i="80" s="1"/>
  <c r="K107" i="80" s="1"/>
  <c r="K109" i="80" s="1"/>
  <c r="K77" i="80"/>
  <c r="K78" i="80"/>
  <c r="K79" i="80"/>
  <c r="K80" i="80"/>
  <c r="K81" i="80"/>
  <c r="K82" i="80"/>
  <c r="R69" i="80"/>
  <c r="R106" i="80" s="1"/>
  <c r="Q83" i="80"/>
  <c r="Q90" i="80" s="1"/>
  <c r="Q92" i="80" s="1"/>
  <c r="Q107" i="80" s="1"/>
  <c r="L69" i="79"/>
  <c r="L106" i="79" s="1"/>
  <c r="K69" i="79"/>
  <c r="K106" i="79" s="1"/>
  <c r="M75" i="79"/>
  <c r="M63" i="79"/>
  <c r="M64" i="79"/>
  <c r="M65" i="79"/>
  <c r="M66" i="79"/>
  <c r="L76" i="79"/>
  <c r="L77" i="79"/>
  <c r="L78" i="79"/>
  <c r="L79" i="79"/>
  <c r="L80" i="79"/>
  <c r="L81" i="79"/>
  <c r="L82" i="79"/>
  <c r="K76" i="79"/>
  <c r="K77" i="79"/>
  <c r="K78" i="79"/>
  <c r="K79" i="79"/>
  <c r="K80" i="79"/>
  <c r="K81" i="79"/>
  <c r="K82" i="79"/>
  <c r="T82" i="79"/>
  <c r="T81" i="79"/>
  <c r="T76" i="79"/>
  <c r="T77" i="79"/>
  <c r="T78" i="79"/>
  <c r="T79" i="79"/>
  <c r="T80" i="79"/>
  <c r="R83" i="79"/>
  <c r="R90" i="79" s="1"/>
  <c r="R92" i="79" s="1"/>
  <c r="R107" i="79" s="1"/>
  <c r="R109" i="79" s="1"/>
  <c r="S83" i="79"/>
  <c r="S90" i="79" s="1"/>
  <c r="S92" i="79" s="1"/>
  <c r="S107" i="79" s="1"/>
  <c r="S109" i="79" s="1"/>
  <c r="Q63" i="79"/>
  <c r="Q64" i="79"/>
  <c r="Q65" i="79"/>
  <c r="Q66" i="79"/>
  <c r="Q75" i="79"/>
  <c r="N75" i="79"/>
  <c r="N63" i="79"/>
  <c r="N64" i="79"/>
  <c r="N65" i="79"/>
  <c r="N66" i="79"/>
  <c r="T69" i="79"/>
  <c r="T106" i="79" s="1"/>
  <c r="P78" i="79"/>
  <c r="P79" i="79"/>
  <c r="P80" i="79"/>
  <c r="P81" i="79"/>
  <c r="P82" i="79"/>
  <c r="P77" i="79"/>
  <c r="P76" i="79"/>
  <c r="O63" i="79"/>
  <c r="O64" i="79"/>
  <c r="O65" i="79"/>
  <c r="O66" i="79"/>
  <c r="O75" i="79"/>
  <c r="S109" i="78"/>
  <c r="M69" i="78"/>
  <c r="M106" i="78" s="1"/>
  <c r="M76" i="78"/>
  <c r="M77" i="78"/>
  <c r="M78" i="78"/>
  <c r="M79" i="78"/>
  <c r="M80" i="78"/>
  <c r="M81" i="78"/>
  <c r="M82" i="78"/>
  <c r="P69" i="78"/>
  <c r="P106" i="78" s="1"/>
  <c r="R83" i="78"/>
  <c r="R90" i="78" s="1"/>
  <c r="R92" i="78" s="1"/>
  <c r="R107" i="78" s="1"/>
  <c r="R109" i="78" s="1"/>
  <c r="K83" i="78"/>
  <c r="K90" i="78" s="1"/>
  <c r="K92" i="78" s="1"/>
  <c r="K107" i="78" s="1"/>
  <c r="K109" i="78" s="1"/>
  <c r="L75" i="78"/>
  <c r="L63" i="78"/>
  <c r="L64" i="78"/>
  <c r="L66" i="78"/>
  <c r="L65" i="78"/>
  <c r="S83" i="78"/>
  <c r="S90" i="78" s="1"/>
  <c r="S92" i="78" s="1"/>
  <c r="S107" i="78" s="1"/>
  <c r="O63" i="78"/>
  <c r="O64" i="78"/>
  <c r="O65" i="78"/>
  <c r="O66" i="78"/>
  <c r="O75" i="78"/>
  <c r="Q83" i="78"/>
  <c r="Q90" i="78" s="1"/>
  <c r="Q92" i="78" s="1"/>
  <c r="Q107" i="78" s="1"/>
  <c r="Q109" i="78" s="1"/>
  <c r="N69" i="78"/>
  <c r="N106" i="78" s="1"/>
  <c r="N76" i="78"/>
  <c r="N77" i="78"/>
  <c r="N78" i="78"/>
  <c r="N79" i="78"/>
  <c r="N80" i="78"/>
  <c r="N81" i="78"/>
  <c r="N82" i="78"/>
  <c r="T83" i="78"/>
  <c r="T90" i="78" s="1"/>
  <c r="T92" i="78" s="1"/>
  <c r="T107" i="78" s="1"/>
  <c r="T109" i="78" s="1"/>
  <c r="P78" i="78"/>
  <c r="P79" i="78"/>
  <c r="P80" i="78"/>
  <c r="P81" i="78"/>
  <c r="P77" i="78"/>
  <c r="P82" i="78"/>
  <c r="P76" i="78"/>
  <c r="R69" i="74"/>
  <c r="R106" i="74" s="1"/>
  <c r="P78" i="74"/>
  <c r="P79" i="74"/>
  <c r="P80" i="74"/>
  <c r="P81" i="74"/>
  <c r="P82" i="74"/>
  <c r="P76" i="74"/>
  <c r="P77" i="74"/>
  <c r="N109" i="74"/>
  <c r="T109" i="74"/>
  <c r="O83" i="74"/>
  <c r="O90" i="74" s="1"/>
  <c r="O92" i="74" s="1"/>
  <c r="O107" i="74" s="1"/>
  <c r="O109" i="74" s="1"/>
  <c r="L69" i="74"/>
  <c r="L106" i="74" s="1"/>
  <c r="M69" i="74"/>
  <c r="M106" i="74" s="1"/>
  <c r="K83" i="74"/>
  <c r="K90" i="74" s="1"/>
  <c r="K92" i="74" s="1"/>
  <c r="K107" i="74" s="1"/>
  <c r="P69" i="74"/>
  <c r="P106" i="74" s="1"/>
  <c r="T83" i="74"/>
  <c r="T90" i="74" s="1"/>
  <c r="T92" i="74" s="1"/>
  <c r="T107" i="74" s="1"/>
  <c r="M76" i="74"/>
  <c r="M77" i="74"/>
  <c r="M78" i="74"/>
  <c r="M79" i="74"/>
  <c r="M80" i="74"/>
  <c r="M81" i="74"/>
  <c r="M82" i="74"/>
  <c r="S112" i="74"/>
  <c r="S113" i="74"/>
  <c r="K109" i="74"/>
  <c r="L76" i="74"/>
  <c r="L77" i="74"/>
  <c r="L78" i="74"/>
  <c r="L79" i="74"/>
  <c r="L80" i="74"/>
  <c r="L81" i="74"/>
  <c r="L82" i="74"/>
  <c r="R80" i="74"/>
  <c r="R78" i="74"/>
  <c r="R81" i="74"/>
  <c r="R82" i="74"/>
  <c r="R76" i="74"/>
  <c r="R77" i="74"/>
  <c r="R79" i="74"/>
  <c r="Q79" i="74"/>
  <c r="Q80" i="74"/>
  <c r="Q77" i="74"/>
  <c r="Q81" i="74"/>
  <c r="Q78" i="74"/>
  <c r="Q82" i="74"/>
  <c r="Q76" i="74"/>
  <c r="Q83" i="74" s="1"/>
  <c r="Q90" i="74" s="1"/>
  <c r="Q92" i="74" s="1"/>
  <c r="Q107" i="74" s="1"/>
  <c r="Q69" i="74"/>
  <c r="Q106" i="74" s="1"/>
  <c r="N83" i="74"/>
  <c r="N90" i="74" s="1"/>
  <c r="N92" i="74" s="1"/>
  <c r="N107" i="74" s="1"/>
  <c r="L69" i="77"/>
  <c r="L106" i="77" s="1"/>
  <c r="R80" i="77"/>
  <c r="R78" i="77"/>
  <c r="R81" i="77"/>
  <c r="R79" i="77"/>
  <c r="R82" i="77"/>
  <c r="R76" i="77"/>
  <c r="R77" i="77"/>
  <c r="S69" i="77"/>
  <c r="S106" i="77" s="1"/>
  <c r="T83" i="77"/>
  <c r="T90" i="77" s="1"/>
  <c r="T92" i="77" s="1"/>
  <c r="T107" i="77" s="1"/>
  <c r="T109" i="77" s="1"/>
  <c r="L76" i="77"/>
  <c r="L77" i="77"/>
  <c r="L78" i="77"/>
  <c r="L79" i="77"/>
  <c r="L80" i="77"/>
  <c r="L81" i="77"/>
  <c r="L82" i="77"/>
  <c r="M109" i="77"/>
  <c r="K69" i="77"/>
  <c r="K106" i="77" s="1"/>
  <c r="R69" i="77"/>
  <c r="R106" i="77" s="1"/>
  <c r="P78" i="77"/>
  <c r="P79" i="77"/>
  <c r="P76" i="77"/>
  <c r="P83" i="77" s="1"/>
  <c r="P90" i="77" s="1"/>
  <c r="P92" i="77" s="1"/>
  <c r="P107" i="77" s="1"/>
  <c r="P109" i="77" s="1"/>
  <c r="P80" i="77"/>
  <c r="P81" i="77"/>
  <c r="P82" i="77"/>
  <c r="P77" i="77"/>
  <c r="Q63" i="77"/>
  <c r="Q64" i="77"/>
  <c r="Q65" i="77"/>
  <c r="Q66" i="77"/>
  <c r="Q75" i="77"/>
  <c r="K76" i="77"/>
  <c r="K82" i="77"/>
  <c r="K77" i="77"/>
  <c r="K78" i="77"/>
  <c r="K79" i="77"/>
  <c r="K80" i="77"/>
  <c r="K81" i="77"/>
  <c r="O75" i="77"/>
  <c r="O63" i="77"/>
  <c r="O64" i="77"/>
  <c r="O65" i="77"/>
  <c r="O66" i="77"/>
  <c r="N76" i="77"/>
  <c r="N77" i="77"/>
  <c r="N78" i="77"/>
  <c r="N79" i="77"/>
  <c r="N80" i="77"/>
  <c r="N81" i="77"/>
  <c r="N82" i="77"/>
  <c r="S81" i="77"/>
  <c r="S82" i="77"/>
  <c r="S79" i="77"/>
  <c r="S76" i="77"/>
  <c r="S77" i="77"/>
  <c r="S78" i="77"/>
  <c r="S80" i="77"/>
  <c r="K76" i="76"/>
  <c r="K77" i="76"/>
  <c r="K78" i="76"/>
  <c r="K79" i="76"/>
  <c r="K80" i="76"/>
  <c r="K81" i="76"/>
  <c r="K82" i="76"/>
  <c r="R69" i="76"/>
  <c r="R106" i="76" s="1"/>
  <c r="N69" i="76"/>
  <c r="N106" i="76" s="1"/>
  <c r="P69" i="76"/>
  <c r="P106" i="76" s="1"/>
  <c r="N76" i="76"/>
  <c r="N77" i="76"/>
  <c r="N78" i="76"/>
  <c r="N79" i="76"/>
  <c r="N80" i="76"/>
  <c r="N81" i="76"/>
  <c r="N82" i="76"/>
  <c r="O109" i="76"/>
  <c r="Q79" i="76"/>
  <c r="Q80" i="76"/>
  <c r="Q81" i="76"/>
  <c r="Q82" i="76"/>
  <c r="Q76" i="76"/>
  <c r="Q83" i="76" s="1"/>
  <c r="Q90" i="76" s="1"/>
  <c r="Q92" i="76" s="1"/>
  <c r="Q107" i="76" s="1"/>
  <c r="Q78" i="76"/>
  <c r="Q77" i="76"/>
  <c r="S109" i="76"/>
  <c r="O83" i="76"/>
  <c r="O90" i="76" s="1"/>
  <c r="O92" i="76" s="1"/>
  <c r="O107" i="76" s="1"/>
  <c r="T82" i="76"/>
  <c r="T76" i="76"/>
  <c r="T77" i="76"/>
  <c r="T81" i="76"/>
  <c r="T78" i="76"/>
  <c r="T79" i="76"/>
  <c r="T80" i="76"/>
  <c r="L75" i="76"/>
  <c r="L66" i="76"/>
  <c r="L63" i="76"/>
  <c r="L64" i="76"/>
  <c r="L65" i="76"/>
  <c r="M83" i="76"/>
  <c r="M90" i="76" s="1"/>
  <c r="M92" i="76" s="1"/>
  <c r="M107" i="76" s="1"/>
  <c r="M109" i="76" s="1"/>
  <c r="R80" i="76"/>
  <c r="R81" i="76"/>
  <c r="R82" i="76"/>
  <c r="R79" i="76"/>
  <c r="R76" i="76"/>
  <c r="R77" i="76"/>
  <c r="R78" i="76"/>
  <c r="T69" i="76"/>
  <c r="T106" i="76" s="1"/>
  <c r="Q69" i="76"/>
  <c r="Q106" i="76" s="1"/>
  <c r="K69" i="76"/>
  <c r="K106" i="76" s="1"/>
  <c r="P78" i="76"/>
  <c r="P79" i="76"/>
  <c r="P80" i="76"/>
  <c r="P81" i="76"/>
  <c r="P82" i="76"/>
  <c r="P77" i="76"/>
  <c r="P76" i="76"/>
  <c r="L69" i="75"/>
  <c r="L106" i="75" s="1"/>
  <c r="K76" i="75"/>
  <c r="K78" i="75"/>
  <c r="K79" i="75"/>
  <c r="K80" i="75"/>
  <c r="K82" i="75"/>
  <c r="K77" i="75"/>
  <c r="K81" i="75"/>
  <c r="K69" i="75"/>
  <c r="K106" i="75" s="1"/>
  <c r="Q83" i="75"/>
  <c r="Q90" i="75" s="1"/>
  <c r="Q92" i="75" s="1"/>
  <c r="Q107" i="75" s="1"/>
  <c r="Q109" i="75" s="1"/>
  <c r="N76" i="75"/>
  <c r="N83" i="75" s="1"/>
  <c r="N90" i="75" s="1"/>
  <c r="N92" i="75" s="1"/>
  <c r="N107" i="75" s="1"/>
  <c r="N77" i="75"/>
  <c r="N78" i="75"/>
  <c r="N79" i="75"/>
  <c r="N81" i="75"/>
  <c r="N82" i="75"/>
  <c r="N80" i="75"/>
  <c r="L76" i="75"/>
  <c r="L77" i="75"/>
  <c r="L79" i="75"/>
  <c r="L80" i="75"/>
  <c r="L81" i="75"/>
  <c r="L82" i="75"/>
  <c r="L78" i="75"/>
  <c r="T69" i="75"/>
  <c r="T106" i="75" s="1"/>
  <c r="S81" i="75"/>
  <c r="S82" i="75"/>
  <c r="S76" i="75"/>
  <c r="S78" i="75"/>
  <c r="S79" i="75"/>
  <c r="S80" i="75"/>
  <c r="S77" i="75"/>
  <c r="N69" i="75"/>
  <c r="N106" i="75" s="1"/>
  <c r="P69" i="75"/>
  <c r="P106" i="75" s="1"/>
  <c r="R80" i="75"/>
  <c r="R81" i="75"/>
  <c r="R82" i="75"/>
  <c r="R77" i="75"/>
  <c r="R78" i="75"/>
  <c r="R79" i="75"/>
  <c r="R76" i="75"/>
  <c r="O77" i="75"/>
  <c r="O78" i="75"/>
  <c r="O79" i="75"/>
  <c r="O80" i="75"/>
  <c r="O82" i="75"/>
  <c r="O81" i="75"/>
  <c r="O76" i="75"/>
  <c r="P78" i="75"/>
  <c r="P79" i="75"/>
  <c r="P80" i="75"/>
  <c r="P81" i="75"/>
  <c r="P82" i="75"/>
  <c r="P76" i="75"/>
  <c r="P77" i="75"/>
  <c r="S69" i="75"/>
  <c r="S106" i="75" s="1"/>
  <c r="M76" i="75"/>
  <c r="M83" i="75" s="1"/>
  <c r="M90" i="75" s="1"/>
  <c r="M92" i="75" s="1"/>
  <c r="M107" i="75" s="1"/>
  <c r="M109" i="75" s="1"/>
  <c r="M77" i="75"/>
  <c r="M78" i="75"/>
  <c r="M80" i="75"/>
  <c r="M81" i="75"/>
  <c r="M79" i="75"/>
  <c r="M82" i="75"/>
  <c r="T82" i="75"/>
  <c r="T76" i="75"/>
  <c r="T77" i="75"/>
  <c r="T79" i="75"/>
  <c r="T80" i="75"/>
  <c r="T81" i="75"/>
  <c r="T78" i="75"/>
  <c r="O59" i="72"/>
  <c r="O105" i="72" s="1"/>
  <c r="M59" i="72"/>
  <c r="M105" i="72" s="1"/>
  <c r="O34" i="72"/>
  <c r="N59" i="72"/>
  <c r="N105" i="72" s="1"/>
  <c r="O33" i="72"/>
  <c r="O39" i="72"/>
  <c r="O38" i="72"/>
  <c r="R32" i="72"/>
  <c r="R37" i="72" s="1"/>
  <c r="P32" i="72"/>
  <c r="P33" i="72" s="1"/>
  <c r="O37" i="72"/>
  <c r="O36" i="72"/>
  <c r="O41" i="72"/>
  <c r="O40" i="72"/>
  <c r="Q59" i="72"/>
  <c r="Q105" i="72" s="1"/>
  <c r="N32" i="72"/>
  <c r="N37" i="72" s="1"/>
  <c r="P59" i="72"/>
  <c r="P105" i="72" s="1"/>
  <c r="L100" i="72"/>
  <c r="L108" i="72" s="1"/>
  <c r="M100" i="72"/>
  <c r="M108" i="72" s="1"/>
  <c r="M32" i="72"/>
  <c r="M39" i="72" s="1"/>
  <c r="S56" i="72"/>
  <c r="S59" i="72" s="1"/>
  <c r="S105" i="72" s="1"/>
  <c r="S32" i="72"/>
  <c r="O97" i="72"/>
  <c r="O103" i="72"/>
  <c r="O111" i="72" s="1"/>
  <c r="O118" i="72" s="1"/>
  <c r="O95" i="72"/>
  <c r="O96" i="72"/>
  <c r="L40" i="72"/>
  <c r="L33" i="72"/>
  <c r="L41" i="72"/>
  <c r="L34" i="72"/>
  <c r="L35" i="72"/>
  <c r="L62" i="72"/>
  <c r="L36" i="72"/>
  <c r="L37" i="72"/>
  <c r="L38" i="72"/>
  <c r="L39" i="72"/>
  <c r="T103" i="72"/>
  <c r="T111" i="72" s="1"/>
  <c r="T118" i="72" s="1"/>
  <c r="T95" i="72"/>
  <c r="T96" i="72"/>
  <c r="T97" i="72"/>
  <c r="T38" i="72"/>
  <c r="T39" i="72"/>
  <c r="T33" i="72"/>
  <c r="T40" i="72"/>
  <c r="T41" i="72"/>
  <c r="T34" i="72"/>
  <c r="T35" i="72"/>
  <c r="T62" i="72"/>
  <c r="T36" i="72"/>
  <c r="T37" i="72"/>
  <c r="N62" i="72"/>
  <c r="R59" i="72"/>
  <c r="R105" i="72" s="1"/>
  <c r="P38" i="72"/>
  <c r="P39" i="72"/>
  <c r="Q103" i="72"/>
  <c r="Q111" i="72" s="1"/>
  <c r="Q118" i="72" s="1"/>
  <c r="Q95" i="72"/>
  <c r="Q97" i="72"/>
  <c r="Q96" i="72"/>
  <c r="P97" i="72"/>
  <c r="P103" i="72"/>
  <c r="P111" i="72" s="1"/>
  <c r="P118" i="72" s="1"/>
  <c r="P95" i="72"/>
  <c r="P96" i="72"/>
  <c r="R103" i="72"/>
  <c r="R111" i="72" s="1"/>
  <c r="R118" i="72" s="1"/>
  <c r="R95" i="72"/>
  <c r="R96" i="72"/>
  <c r="R97" i="72"/>
  <c r="S103" i="72"/>
  <c r="S111" i="72" s="1"/>
  <c r="S118" i="72" s="1"/>
  <c r="S95" i="72"/>
  <c r="S96" i="72"/>
  <c r="S97" i="72"/>
  <c r="Q32" i="72"/>
  <c r="N100" i="72"/>
  <c r="N108" i="72" s="1"/>
  <c r="R62" i="72"/>
  <c r="K39" i="72"/>
  <c r="K33" i="72"/>
  <c r="K40" i="72"/>
  <c r="K41" i="72"/>
  <c r="K34" i="72"/>
  <c r="K35" i="72"/>
  <c r="K62" i="72"/>
  <c r="K36" i="72"/>
  <c r="K37" i="72"/>
  <c r="K38" i="72"/>
  <c r="O63" i="72"/>
  <c r="O64" i="72"/>
  <c r="O65" i="72"/>
  <c r="O66" i="72"/>
  <c r="O75" i="72"/>
  <c r="K112" i="80" l="1"/>
  <c r="S112" i="80"/>
  <c r="S113" i="80" s="1"/>
  <c r="T112" i="80"/>
  <c r="T113" i="80"/>
  <c r="M83" i="80"/>
  <c r="M90" i="80" s="1"/>
  <c r="M92" i="80" s="1"/>
  <c r="M107" i="80" s="1"/>
  <c r="N76" i="80"/>
  <c r="N77" i="80"/>
  <c r="N78" i="80"/>
  <c r="N79" i="80"/>
  <c r="N80" i="80"/>
  <c r="N81" i="80"/>
  <c r="N82" i="80"/>
  <c r="R109" i="80"/>
  <c r="P69" i="80"/>
  <c r="P106" i="80" s="1"/>
  <c r="P78" i="80"/>
  <c r="P77" i="80"/>
  <c r="P79" i="80"/>
  <c r="P80" i="80"/>
  <c r="P81" i="80"/>
  <c r="P82" i="80"/>
  <c r="P76" i="80"/>
  <c r="P83" i="80" s="1"/>
  <c r="P90" i="80" s="1"/>
  <c r="P92" i="80" s="1"/>
  <c r="P107" i="80" s="1"/>
  <c r="R83" i="80"/>
  <c r="R90" i="80" s="1"/>
  <c r="R92" i="80" s="1"/>
  <c r="R107" i="80" s="1"/>
  <c r="O83" i="80"/>
  <c r="O90" i="80" s="1"/>
  <c r="O92" i="80" s="1"/>
  <c r="O107" i="80" s="1"/>
  <c r="O109" i="80" s="1"/>
  <c r="L83" i="80"/>
  <c r="L90" i="80" s="1"/>
  <c r="L92" i="80" s="1"/>
  <c r="L107" i="80" s="1"/>
  <c r="L109" i="80" s="1"/>
  <c r="Q112" i="80"/>
  <c r="Q113" i="80"/>
  <c r="N69" i="80"/>
  <c r="N106" i="80" s="1"/>
  <c r="M109" i="80"/>
  <c r="S112" i="79"/>
  <c r="R112" i="79"/>
  <c r="R113" i="79" s="1"/>
  <c r="L83" i="79"/>
  <c r="L90" i="79" s="1"/>
  <c r="L92" i="79" s="1"/>
  <c r="L107" i="79" s="1"/>
  <c r="Q69" i="79"/>
  <c r="Q106" i="79" s="1"/>
  <c r="O77" i="79"/>
  <c r="O78" i="79"/>
  <c r="O79" i="79"/>
  <c r="O76" i="79"/>
  <c r="O80" i="79"/>
  <c r="O81" i="79"/>
  <c r="O82" i="79"/>
  <c r="M69" i="79"/>
  <c r="M106" i="79" s="1"/>
  <c r="P83" i="79"/>
  <c r="P90" i="79" s="1"/>
  <c r="P92" i="79" s="1"/>
  <c r="P107" i="79" s="1"/>
  <c r="P109" i="79" s="1"/>
  <c r="N76" i="79"/>
  <c r="N77" i="79"/>
  <c r="N78" i="79"/>
  <c r="N79" i="79"/>
  <c r="N80" i="79"/>
  <c r="N81" i="79"/>
  <c r="N82" i="79"/>
  <c r="T83" i="79"/>
  <c r="T90" i="79" s="1"/>
  <c r="T92" i="79" s="1"/>
  <c r="T107" i="79" s="1"/>
  <c r="T109" i="79" s="1"/>
  <c r="K109" i="79"/>
  <c r="O69" i="79"/>
  <c r="O106" i="79" s="1"/>
  <c r="M76" i="79"/>
  <c r="M77" i="79"/>
  <c r="M78" i="79"/>
  <c r="M79" i="79"/>
  <c r="M80" i="79"/>
  <c r="M81" i="79"/>
  <c r="M82" i="79"/>
  <c r="Q79" i="79"/>
  <c r="Q78" i="79"/>
  <c r="Q80" i="79"/>
  <c r="Q81" i="79"/>
  <c r="Q82" i="79"/>
  <c r="Q76" i="79"/>
  <c r="Q77" i="79"/>
  <c r="L109" i="79"/>
  <c r="K83" i="79"/>
  <c r="K90" i="79" s="1"/>
  <c r="K92" i="79" s="1"/>
  <c r="K107" i="79" s="1"/>
  <c r="N69" i="79"/>
  <c r="N106" i="79" s="1"/>
  <c r="T112" i="78"/>
  <c r="T113" i="78" s="1"/>
  <c r="K112" i="78"/>
  <c r="Q112" i="78"/>
  <c r="Q113" i="78" s="1"/>
  <c r="R112" i="78"/>
  <c r="R113" i="78" s="1"/>
  <c r="O69" i="78"/>
  <c r="O106" i="78" s="1"/>
  <c r="O77" i="78"/>
  <c r="O78" i="78"/>
  <c r="O79" i="78"/>
  <c r="O76" i="78"/>
  <c r="O80" i="78"/>
  <c r="O81" i="78"/>
  <c r="O82" i="78"/>
  <c r="P83" i="78"/>
  <c r="P90" i="78" s="1"/>
  <c r="P92" i="78" s="1"/>
  <c r="P107" i="78" s="1"/>
  <c r="P109" i="78" s="1"/>
  <c r="N83" i="78"/>
  <c r="N90" i="78" s="1"/>
  <c r="N92" i="78" s="1"/>
  <c r="N107" i="78" s="1"/>
  <c r="M83" i="78"/>
  <c r="M90" i="78" s="1"/>
  <c r="M92" i="78" s="1"/>
  <c r="M107" i="78" s="1"/>
  <c r="M109" i="78" s="1"/>
  <c r="L69" i="78"/>
  <c r="L106" i="78" s="1"/>
  <c r="N109" i="78"/>
  <c r="L76" i="78"/>
  <c r="L83" i="78" s="1"/>
  <c r="L90" i="78" s="1"/>
  <c r="L92" i="78" s="1"/>
  <c r="L107" i="78" s="1"/>
  <c r="L77" i="78"/>
  <c r="L78" i="78"/>
  <c r="L79" i="78"/>
  <c r="L80" i="78"/>
  <c r="L81" i="78"/>
  <c r="L82" i="78"/>
  <c r="S112" i="78"/>
  <c r="S113" i="78" s="1"/>
  <c r="O112" i="74"/>
  <c r="O113" i="74" s="1"/>
  <c r="P83" i="74"/>
  <c r="P90" i="74" s="1"/>
  <c r="P92" i="74" s="1"/>
  <c r="P107" i="74" s="1"/>
  <c r="T112" i="74"/>
  <c r="T113" i="74" s="1"/>
  <c r="M83" i="74"/>
  <c r="M90" i="74" s="1"/>
  <c r="M92" i="74" s="1"/>
  <c r="M107" i="74" s="1"/>
  <c r="M109" i="74" s="1"/>
  <c r="L83" i="74"/>
  <c r="L90" i="74" s="1"/>
  <c r="L92" i="74" s="1"/>
  <c r="L107" i="74" s="1"/>
  <c r="L109" i="74" s="1"/>
  <c r="P109" i="74"/>
  <c r="R83" i="74"/>
  <c r="R90" i="74" s="1"/>
  <c r="R92" i="74" s="1"/>
  <c r="R107" i="74" s="1"/>
  <c r="R109" i="74" s="1"/>
  <c r="K112" i="74"/>
  <c r="N112" i="74"/>
  <c r="N113" i="74"/>
  <c r="Q109" i="74"/>
  <c r="S116" i="74"/>
  <c r="P112" i="77"/>
  <c r="P113" i="77"/>
  <c r="T112" i="77"/>
  <c r="T113" i="77" s="1"/>
  <c r="L83" i="77"/>
  <c r="L90" i="77" s="1"/>
  <c r="L92" i="77" s="1"/>
  <c r="L107" i="77" s="1"/>
  <c r="N83" i="77"/>
  <c r="N90" i="77" s="1"/>
  <c r="N92" i="77" s="1"/>
  <c r="N107" i="77" s="1"/>
  <c r="N109" i="77" s="1"/>
  <c r="K83" i="77"/>
  <c r="K90" i="77" s="1"/>
  <c r="K92" i="77" s="1"/>
  <c r="K107" i="77" s="1"/>
  <c r="K109" i="77" s="1"/>
  <c r="S83" i="77"/>
  <c r="S90" i="77" s="1"/>
  <c r="S92" i="77" s="1"/>
  <c r="S107" i="77" s="1"/>
  <c r="S109" i="77" s="1"/>
  <c r="Q79" i="77"/>
  <c r="Q80" i="77"/>
  <c r="Q78" i="77"/>
  <c r="Q81" i="77"/>
  <c r="Q82" i="77"/>
  <c r="Q77" i="77"/>
  <c r="Q76" i="77"/>
  <c r="R83" i="77"/>
  <c r="R90" i="77" s="1"/>
  <c r="R92" i="77" s="1"/>
  <c r="R107" i="77" s="1"/>
  <c r="R109" i="77" s="1"/>
  <c r="O77" i="77"/>
  <c r="O78" i="77"/>
  <c r="O79" i="77"/>
  <c r="O80" i="77"/>
  <c r="O81" i="77"/>
  <c r="O82" i="77"/>
  <c r="O76" i="77"/>
  <c r="M112" i="77"/>
  <c r="M113" i="77" s="1"/>
  <c r="Q69" i="77"/>
  <c r="Q106" i="77" s="1"/>
  <c r="O69" i="77"/>
  <c r="O106" i="77" s="1"/>
  <c r="L109" i="77"/>
  <c r="M112" i="76"/>
  <c r="M113" i="76"/>
  <c r="N83" i="76"/>
  <c r="N90" i="76" s="1"/>
  <c r="N92" i="76" s="1"/>
  <c r="N107" i="76" s="1"/>
  <c r="P83" i="76"/>
  <c r="P90" i="76" s="1"/>
  <c r="P92" i="76" s="1"/>
  <c r="P107" i="76" s="1"/>
  <c r="P109" i="76" s="1"/>
  <c r="N109" i="76"/>
  <c r="R83" i="76"/>
  <c r="R90" i="76" s="1"/>
  <c r="R92" i="76" s="1"/>
  <c r="R107" i="76" s="1"/>
  <c r="R109" i="76" s="1"/>
  <c r="L76" i="76"/>
  <c r="L77" i="76"/>
  <c r="L78" i="76"/>
  <c r="L79" i="76"/>
  <c r="L80" i="76"/>
  <c r="L81" i="76"/>
  <c r="L82" i="76"/>
  <c r="O112" i="76"/>
  <c r="O113" i="76"/>
  <c r="K109" i="76"/>
  <c r="S112" i="76"/>
  <c r="S113" i="76"/>
  <c r="Q109" i="76"/>
  <c r="L69" i="76"/>
  <c r="L106" i="76" s="1"/>
  <c r="T83" i="76"/>
  <c r="T90" i="76" s="1"/>
  <c r="T92" i="76" s="1"/>
  <c r="T107" i="76" s="1"/>
  <c r="T109" i="76" s="1"/>
  <c r="K83" i="76"/>
  <c r="K90" i="76" s="1"/>
  <c r="K92" i="76" s="1"/>
  <c r="K107" i="76" s="1"/>
  <c r="Q112" i="75"/>
  <c r="M112" i="75"/>
  <c r="S109" i="75"/>
  <c r="P83" i="75"/>
  <c r="P90" i="75" s="1"/>
  <c r="P92" i="75" s="1"/>
  <c r="P107" i="75" s="1"/>
  <c r="P109" i="75" s="1"/>
  <c r="K109" i="75"/>
  <c r="L83" i="75"/>
  <c r="L90" i="75" s="1"/>
  <c r="L92" i="75" s="1"/>
  <c r="L107" i="75" s="1"/>
  <c r="L109" i="75" s="1"/>
  <c r="T83" i="75"/>
  <c r="T90" i="75" s="1"/>
  <c r="T92" i="75" s="1"/>
  <c r="T107" i="75" s="1"/>
  <c r="T109" i="75" s="1"/>
  <c r="R83" i="75"/>
  <c r="R90" i="75" s="1"/>
  <c r="R92" i="75" s="1"/>
  <c r="R107" i="75" s="1"/>
  <c r="R109" i="75" s="1"/>
  <c r="N109" i="75"/>
  <c r="S83" i="75"/>
  <c r="S90" i="75" s="1"/>
  <c r="S92" i="75" s="1"/>
  <c r="S107" i="75" s="1"/>
  <c r="K83" i="75"/>
  <c r="K90" i="75" s="1"/>
  <c r="K92" i="75" s="1"/>
  <c r="K107" i="75" s="1"/>
  <c r="O83" i="75"/>
  <c r="O90" i="75" s="1"/>
  <c r="O92" i="75" s="1"/>
  <c r="O107" i="75" s="1"/>
  <c r="O109" i="75" s="1"/>
  <c r="P37" i="72"/>
  <c r="R41" i="72"/>
  <c r="P62" i="72"/>
  <c r="R34" i="72"/>
  <c r="R35" i="72"/>
  <c r="R36" i="72"/>
  <c r="P35" i="72"/>
  <c r="R33" i="72"/>
  <c r="P34" i="72"/>
  <c r="R40" i="72"/>
  <c r="R39" i="72"/>
  <c r="P41" i="72"/>
  <c r="R38" i="72"/>
  <c r="P40" i="72"/>
  <c r="P36" i="72"/>
  <c r="M41" i="72"/>
  <c r="M40" i="72"/>
  <c r="M34" i="72"/>
  <c r="N36" i="72"/>
  <c r="N35" i="72"/>
  <c r="N41" i="72"/>
  <c r="N39" i="72"/>
  <c r="N38" i="72"/>
  <c r="N34" i="72"/>
  <c r="N40" i="72"/>
  <c r="N33" i="72"/>
  <c r="M36" i="72"/>
  <c r="M62" i="72"/>
  <c r="M64" i="72" s="1"/>
  <c r="M38" i="72"/>
  <c r="M37" i="72"/>
  <c r="M35" i="72"/>
  <c r="M33" i="72"/>
  <c r="S33" i="72"/>
  <c r="S40" i="72"/>
  <c r="S39" i="72"/>
  <c r="S37" i="72"/>
  <c r="S36" i="72"/>
  <c r="S41" i="72"/>
  <c r="S34" i="72"/>
  <c r="S35" i="72"/>
  <c r="S62" i="72"/>
  <c r="S38" i="72"/>
  <c r="R64" i="72"/>
  <c r="R65" i="72"/>
  <c r="R66" i="72"/>
  <c r="R75" i="72"/>
  <c r="R63" i="72"/>
  <c r="T66" i="72"/>
  <c r="T75" i="72"/>
  <c r="T65" i="72"/>
  <c r="T63" i="72"/>
  <c r="T64" i="72"/>
  <c r="T100" i="72"/>
  <c r="T108" i="72" s="1"/>
  <c r="Q62" i="72"/>
  <c r="Q36" i="72"/>
  <c r="Q37" i="72"/>
  <c r="Q38" i="72"/>
  <c r="Q39" i="72"/>
  <c r="Q33" i="72"/>
  <c r="Q40" i="72"/>
  <c r="Q41" i="72"/>
  <c r="Q34" i="72"/>
  <c r="Q35" i="72"/>
  <c r="P100" i="72"/>
  <c r="P108" i="72" s="1"/>
  <c r="O100" i="72"/>
  <c r="O108" i="72" s="1"/>
  <c r="O69" i="72"/>
  <c r="O106" i="72" s="1"/>
  <c r="S100" i="72"/>
  <c r="S108" i="72" s="1"/>
  <c r="R100" i="72"/>
  <c r="R108" i="72" s="1"/>
  <c r="P63" i="72"/>
  <c r="P64" i="72"/>
  <c r="P65" i="72"/>
  <c r="P66" i="72"/>
  <c r="P75" i="72"/>
  <c r="N63" i="72"/>
  <c r="N64" i="72"/>
  <c r="N65" i="72"/>
  <c r="N66" i="72"/>
  <c r="N75" i="72"/>
  <c r="O81" i="72"/>
  <c r="O82" i="72"/>
  <c r="O76" i="72"/>
  <c r="O77" i="72"/>
  <c r="O80" i="72"/>
  <c r="O78" i="72"/>
  <c r="O79" i="72"/>
  <c r="Q100" i="72"/>
  <c r="Q108" i="72" s="1"/>
  <c r="L63" i="72"/>
  <c r="L64" i="72"/>
  <c r="L65" i="72"/>
  <c r="L66" i="72"/>
  <c r="L75" i="72"/>
  <c r="K63" i="72"/>
  <c r="K64" i="72"/>
  <c r="K65" i="72"/>
  <c r="K66" i="72"/>
  <c r="K75" i="72"/>
  <c r="O112" i="80" l="1"/>
  <c r="O113" i="80"/>
  <c r="N83" i="80"/>
  <c r="N90" i="80" s="1"/>
  <c r="N92" i="80" s="1"/>
  <c r="N107" i="80" s="1"/>
  <c r="M112" i="80"/>
  <c r="M113" i="80" s="1"/>
  <c r="N109" i="80"/>
  <c r="T116" i="80"/>
  <c r="Q116" i="80"/>
  <c r="P109" i="80"/>
  <c r="L112" i="80"/>
  <c r="L113" i="80" s="1"/>
  <c r="R112" i="80"/>
  <c r="S116" i="80"/>
  <c r="K113" i="80"/>
  <c r="K118" i="80" s="1"/>
  <c r="T112" i="79"/>
  <c r="O83" i="79"/>
  <c r="O90" i="79" s="1"/>
  <c r="O92" i="79" s="1"/>
  <c r="O107" i="79" s="1"/>
  <c r="K112" i="79"/>
  <c r="K113" i="79" s="1"/>
  <c r="L112" i="79"/>
  <c r="P112" i="79"/>
  <c r="P113" i="79" s="1"/>
  <c r="S116" i="79"/>
  <c r="Q109" i="79"/>
  <c r="Q83" i="79"/>
  <c r="Q90" i="79" s="1"/>
  <c r="Q92" i="79" s="1"/>
  <c r="Q107" i="79" s="1"/>
  <c r="M83" i="79"/>
  <c r="M90" i="79" s="1"/>
  <c r="M92" i="79" s="1"/>
  <c r="M107" i="79" s="1"/>
  <c r="M109" i="79"/>
  <c r="R116" i="79"/>
  <c r="N83" i="79"/>
  <c r="N90" i="79" s="1"/>
  <c r="N92" i="79" s="1"/>
  <c r="N107" i="79" s="1"/>
  <c r="N109" i="79" s="1"/>
  <c r="O109" i="79"/>
  <c r="S113" i="79"/>
  <c r="M112" i="78"/>
  <c r="M113" i="78"/>
  <c r="P112" i="78"/>
  <c r="P113" i="78" s="1"/>
  <c r="R116" i="78"/>
  <c r="L109" i="78"/>
  <c r="S116" i="78"/>
  <c r="N112" i="78"/>
  <c r="Q116" i="78"/>
  <c r="O83" i="78"/>
  <c r="O90" i="78" s="1"/>
  <c r="O92" i="78" s="1"/>
  <c r="O107" i="78" s="1"/>
  <c r="O109" i="78" s="1"/>
  <c r="K113" i="78"/>
  <c r="K118" i="78" s="1"/>
  <c r="T116" i="78"/>
  <c r="L113" i="74"/>
  <c r="L112" i="74"/>
  <c r="R112" i="74"/>
  <c r="R113" i="74"/>
  <c r="M112" i="74"/>
  <c r="M113" i="74" s="1"/>
  <c r="P112" i="74"/>
  <c r="P113" i="74"/>
  <c r="K113" i="74"/>
  <c r="Q112" i="74"/>
  <c r="Q113" i="74"/>
  <c r="T116" i="74"/>
  <c r="N116" i="74"/>
  <c r="O116" i="74"/>
  <c r="S112" i="77"/>
  <c r="S113" i="77"/>
  <c r="K112" i="77"/>
  <c r="R112" i="77"/>
  <c r="R113" i="77" s="1"/>
  <c r="L112" i="77"/>
  <c r="L113" i="77"/>
  <c r="N112" i="77"/>
  <c r="N113" i="77"/>
  <c r="Q109" i="77"/>
  <c r="M116" i="77"/>
  <c r="Q83" i="77"/>
  <c r="Q90" i="77" s="1"/>
  <c r="Q92" i="77" s="1"/>
  <c r="Q107" i="77" s="1"/>
  <c r="T116" i="77"/>
  <c r="O83" i="77"/>
  <c r="O90" i="77" s="1"/>
  <c r="O92" i="77" s="1"/>
  <c r="O107" i="77" s="1"/>
  <c r="O109" i="77" s="1"/>
  <c r="P116" i="77"/>
  <c r="R112" i="76"/>
  <c r="R113" i="76"/>
  <c r="T112" i="76"/>
  <c r="T113" i="76"/>
  <c r="P112" i="76"/>
  <c r="P113" i="76"/>
  <c r="L83" i="76"/>
  <c r="L90" i="76" s="1"/>
  <c r="L92" i="76" s="1"/>
  <c r="L107" i="76" s="1"/>
  <c r="L109" i="76" s="1"/>
  <c r="Q112" i="76"/>
  <c r="Q113" i="76"/>
  <c r="S116" i="76"/>
  <c r="K113" i="76"/>
  <c r="K118" i="76" s="1"/>
  <c r="K115" i="76" s="1"/>
  <c r="K112" i="76"/>
  <c r="N112" i="76"/>
  <c r="N113" i="76"/>
  <c r="O116" i="76"/>
  <c r="M116" i="76"/>
  <c r="L112" i="75"/>
  <c r="L113" i="75"/>
  <c r="T112" i="75"/>
  <c r="T113" i="75"/>
  <c r="P112" i="75"/>
  <c r="P113" i="75" s="1"/>
  <c r="S112" i="75"/>
  <c r="S113" i="75"/>
  <c r="O112" i="75"/>
  <c r="O113" i="75"/>
  <c r="M113" i="75"/>
  <c r="M116" i="75" s="1"/>
  <c r="R112" i="75"/>
  <c r="R113" i="75" s="1"/>
  <c r="N112" i="75"/>
  <c r="N113" i="75" s="1"/>
  <c r="K112" i="75"/>
  <c r="K113" i="75" s="1"/>
  <c r="Q113" i="75"/>
  <c r="Q116" i="75" s="1"/>
  <c r="M75" i="72"/>
  <c r="M77" i="72" s="1"/>
  <c r="R69" i="72"/>
  <c r="R106" i="72" s="1"/>
  <c r="M65" i="72"/>
  <c r="M66" i="72"/>
  <c r="M63" i="72"/>
  <c r="P69" i="72"/>
  <c r="P106" i="72" s="1"/>
  <c r="S66" i="72"/>
  <c r="S64" i="72"/>
  <c r="S75" i="72"/>
  <c r="S63" i="72"/>
  <c r="S65" i="72"/>
  <c r="M79" i="72"/>
  <c r="M80" i="72"/>
  <c r="M81" i="72"/>
  <c r="M82" i="72"/>
  <c r="M78" i="72"/>
  <c r="M76" i="72"/>
  <c r="T69" i="72"/>
  <c r="T106" i="72" s="1"/>
  <c r="R76" i="72"/>
  <c r="R77" i="72"/>
  <c r="R78" i="72"/>
  <c r="R82" i="72"/>
  <c r="R79" i="72"/>
  <c r="R80" i="72"/>
  <c r="R81" i="72"/>
  <c r="O83" i="72"/>
  <c r="O90" i="72" s="1"/>
  <c r="O92" i="72" s="1"/>
  <c r="O107" i="72" s="1"/>
  <c r="O109" i="72" s="1"/>
  <c r="M69" i="72"/>
  <c r="M106" i="72" s="1"/>
  <c r="K69" i="72"/>
  <c r="K106" i="72" s="1"/>
  <c r="P82" i="72"/>
  <c r="P81" i="72"/>
  <c r="P76" i="72"/>
  <c r="P77" i="72"/>
  <c r="P78" i="72"/>
  <c r="P79" i="72"/>
  <c r="P80" i="72"/>
  <c r="N80" i="72"/>
  <c r="N81" i="72"/>
  <c r="N79" i="72"/>
  <c r="N82" i="72"/>
  <c r="N76" i="72"/>
  <c r="N77" i="72"/>
  <c r="N78" i="72"/>
  <c r="K77" i="72"/>
  <c r="K76" i="72"/>
  <c r="K78" i="72"/>
  <c r="K79" i="72"/>
  <c r="K80" i="72"/>
  <c r="K81" i="72"/>
  <c r="K82" i="72"/>
  <c r="L78" i="72"/>
  <c r="L79" i="72"/>
  <c r="L80" i="72"/>
  <c r="L81" i="72"/>
  <c r="L82" i="72"/>
  <c r="L77" i="72"/>
  <c r="L76" i="72"/>
  <c r="L69" i="72"/>
  <c r="L106" i="72" s="1"/>
  <c r="T76" i="72"/>
  <c r="T77" i="72"/>
  <c r="T78" i="72"/>
  <c r="T79" i="72"/>
  <c r="T80" i="72"/>
  <c r="T81" i="72"/>
  <c r="T82" i="72"/>
  <c r="N69" i="72"/>
  <c r="N106" i="72" s="1"/>
  <c r="Q63" i="72"/>
  <c r="Q64" i="72"/>
  <c r="Q65" i="72"/>
  <c r="Q66" i="72"/>
  <c r="Q75" i="72"/>
  <c r="K115" i="80" l="1"/>
  <c r="G55" i="67"/>
  <c r="N112" i="80"/>
  <c r="L116" i="80"/>
  <c r="P112" i="80"/>
  <c r="P113" i="80"/>
  <c r="M116" i="80"/>
  <c r="K116" i="80"/>
  <c r="R113" i="80"/>
  <c r="R116" i="80" s="1"/>
  <c r="O116" i="80"/>
  <c r="N112" i="79"/>
  <c r="N113" i="79" s="1"/>
  <c r="Q112" i="79"/>
  <c r="Q113" i="79" s="1"/>
  <c r="L113" i="79"/>
  <c r="L116" i="79" s="1"/>
  <c r="P116" i="79"/>
  <c r="O112" i="79"/>
  <c r="O113" i="79" s="1"/>
  <c r="K118" i="79"/>
  <c r="M112" i="79"/>
  <c r="M113" i="79" s="1"/>
  <c r="T113" i="79"/>
  <c r="T116" i="79" s="1"/>
  <c r="K115" i="78"/>
  <c r="K116" i="78" s="1"/>
  <c r="G44" i="66"/>
  <c r="O112" i="78"/>
  <c r="O113" i="78" s="1"/>
  <c r="L112" i="78"/>
  <c r="P116" i="78"/>
  <c r="N113" i="78"/>
  <c r="N116" i="78" s="1"/>
  <c r="M116" i="78"/>
  <c r="K118" i="74"/>
  <c r="K115" i="74" s="1"/>
  <c r="K116" i="74" s="1"/>
  <c r="P116" i="74"/>
  <c r="Q116" i="74"/>
  <c r="R116" i="74"/>
  <c r="L116" i="74"/>
  <c r="M116" i="74"/>
  <c r="O112" i="77"/>
  <c r="O113" i="77"/>
  <c r="R116" i="77"/>
  <c r="L116" i="77"/>
  <c r="K113" i="77"/>
  <c r="K118" i="77" s="1"/>
  <c r="K115" i="77" s="1"/>
  <c r="Q112" i="77"/>
  <c r="Q113" i="77"/>
  <c r="N116" i="77"/>
  <c r="S116" i="77"/>
  <c r="L112" i="76"/>
  <c r="Q116" i="76"/>
  <c r="P116" i="76"/>
  <c r="T116" i="76"/>
  <c r="N116" i="76"/>
  <c r="K116" i="76"/>
  <c r="R116" i="76"/>
  <c r="O116" i="75"/>
  <c r="S116" i="75"/>
  <c r="P116" i="75"/>
  <c r="N116" i="75"/>
  <c r="T116" i="75"/>
  <c r="K118" i="75"/>
  <c r="R116" i="75"/>
  <c r="L116" i="75"/>
  <c r="S69" i="72"/>
  <c r="S106" i="72" s="1"/>
  <c r="S81" i="72"/>
  <c r="S78" i="72"/>
  <c r="S79" i="72"/>
  <c r="S76" i="72"/>
  <c r="S77" i="72"/>
  <c r="S80" i="72"/>
  <c r="S82" i="72"/>
  <c r="R83" i="72"/>
  <c r="R90" i="72" s="1"/>
  <c r="R92" i="72" s="1"/>
  <c r="R107" i="72" s="1"/>
  <c r="R109" i="72" s="1"/>
  <c r="R112" i="72" s="1"/>
  <c r="O112" i="72"/>
  <c r="N83" i="72"/>
  <c r="N90" i="72" s="1"/>
  <c r="N92" i="72" s="1"/>
  <c r="N107" i="72" s="1"/>
  <c r="N109" i="72" s="1"/>
  <c r="Q82" i="72"/>
  <c r="Q76" i="72"/>
  <c r="Q77" i="72"/>
  <c r="Q78" i="72"/>
  <c r="Q79" i="72"/>
  <c r="Q80" i="72"/>
  <c r="Q81" i="72"/>
  <c r="T83" i="72"/>
  <c r="T90" i="72" s="1"/>
  <c r="T92" i="72" s="1"/>
  <c r="T107" i="72" s="1"/>
  <c r="T109" i="72" s="1"/>
  <c r="M83" i="72"/>
  <c r="M90" i="72" s="1"/>
  <c r="M92" i="72" s="1"/>
  <c r="M107" i="72" s="1"/>
  <c r="M109" i="72" s="1"/>
  <c r="L83" i="72"/>
  <c r="L90" i="72" s="1"/>
  <c r="L92" i="72" s="1"/>
  <c r="L107" i="72" s="1"/>
  <c r="L109" i="72" s="1"/>
  <c r="K83" i="72"/>
  <c r="K90" i="72" s="1"/>
  <c r="K92" i="72" s="1"/>
  <c r="K107" i="72" s="1"/>
  <c r="K109" i="72" s="1"/>
  <c r="Q69" i="72"/>
  <c r="Q106" i="72" s="1"/>
  <c r="P83" i="72"/>
  <c r="P90" i="72" s="1"/>
  <c r="P92" i="72" s="1"/>
  <c r="P107" i="72" s="1"/>
  <c r="P109" i="72" s="1"/>
  <c r="P116" i="80" l="1"/>
  <c r="N113" i="80"/>
  <c r="N116" i="80" s="1"/>
  <c r="K115" i="79"/>
  <c r="K116" i="79" s="1"/>
  <c r="G50" i="67"/>
  <c r="Q116" i="79"/>
  <c r="O116" i="79"/>
  <c r="M116" i="79"/>
  <c r="N116" i="79"/>
  <c r="L113" i="78"/>
  <c r="L116" i="78" s="1"/>
  <c r="O116" i="78"/>
  <c r="Q116" i="77"/>
  <c r="K116" i="77"/>
  <c r="O116" i="77"/>
  <c r="L113" i="76"/>
  <c r="L116" i="76" s="1"/>
  <c r="K115" i="75"/>
  <c r="K116" i="75" s="1"/>
  <c r="E20" i="58"/>
  <c r="S83" i="72"/>
  <c r="S90" i="72" s="1"/>
  <c r="S92" i="72" s="1"/>
  <c r="S107" i="72" s="1"/>
  <c r="S109" i="72" s="1"/>
  <c r="S112" i="72" s="1"/>
  <c r="S113" i="72" s="1"/>
  <c r="R113" i="72"/>
  <c r="N112" i="72"/>
  <c r="M112" i="72"/>
  <c r="M113" i="72" s="1"/>
  <c r="K112" i="72"/>
  <c r="K113" i="72" s="1"/>
  <c r="L112" i="72"/>
  <c r="L113" i="72" s="1"/>
  <c r="T112" i="72"/>
  <c r="T113" i="72" s="1"/>
  <c r="Q83" i="72"/>
  <c r="Q90" i="72" s="1"/>
  <c r="Q92" i="72" s="1"/>
  <c r="Q107" i="72" s="1"/>
  <c r="Q109" i="72" s="1"/>
  <c r="O113" i="72"/>
  <c r="O116" i="72" s="1"/>
  <c r="P112" i="72"/>
  <c r="P113" i="72" s="1"/>
  <c r="R116" i="72"/>
  <c r="S116" i="72" l="1"/>
  <c r="E25" i="66"/>
  <c r="G25" i="66" s="1"/>
  <c r="E20" i="66"/>
  <c r="E15" i="66"/>
  <c r="K118" i="72"/>
  <c r="Q112" i="72"/>
  <c r="Q113" i="72" s="1"/>
  <c r="T116" i="72"/>
  <c r="L116" i="72"/>
  <c r="P116" i="72"/>
  <c r="M116" i="72"/>
  <c r="N113" i="72"/>
  <c r="N116" i="72" s="1"/>
  <c r="K115" i="72" l="1"/>
  <c r="K116" i="72" s="1"/>
  <c r="Q116" i="72"/>
  <c r="T114" i="71" l="1"/>
  <c r="T115" i="71" s="1"/>
  <c r="S114" i="71"/>
  <c r="S115" i="71" s="1"/>
  <c r="R114" i="71"/>
  <c r="R115" i="71" s="1"/>
  <c r="Q114" i="71"/>
  <c r="Q115" i="71" s="1"/>
  <c r="P114" i="71"/>
  <c r="P115" i="71" s="1"/>
  <c r="O114" i="71"/>
  <c r="O115" i="71" s="1"/>
  <c r="N114" i="71"/>
  <c r="N115" i="71" s="1"/>
  <c r="M114" i="71"/>
  <c r="M115" i="71" s="1"/>
  <c r="L114" i="71"/>
  <c r="L115" i="71" s="1"/>
  <c r="P91" i="71"/>
  <c r="O91" i="71"/>
  <c r="T87" i="71"/>
  <c r="T91" i="71" s="1"/>
  <c r="S87" i="71"/>
  <c r="S91" i="71" s="1"/>
  <c r="R87" i="71"/>
  <c r="R91" i="71" s="1"/>
  <c r="Q87" i="71"/>
  <c r="Q91" i="71" s="1"/>
  <c r="P87" i="71"/>
  <c r="O87" i="71"/>
  <c r="N87" i="71"/>
  <c r="N91" i="71" s="1"/>
  <c r="M87" i="71"/>
  <c r="M91" i="71" s="1"/>
  <c r="L87" i="71"/>
  <c r="L91" i="71" s="1"/>
  <c r="K87" i="71"/>
  <c r="K91" i="71" s="1"/>
  <c r="J81" i="71"/>
  <c r="J80" i="71"/>
  <c r="J79" i="71"/>
  <c r="J78" i="71"/>
  <c r="J77" i="71"/>
  <c r="J76" i="71"/>
  <c r="H63" i="71"/>
  <c r="J63" i="71" s="1"/>
  <c r="J64" i="71" s="1"/>
  <c r="K53" i="71"/>
  <c r="K58" i="71" s="1"/>
  <c r="J41" i="71"/>
  <c r="J40" i="71"/>
  <c r="J33" i="71" s="1"/>
  <c r="J57" i="71" s="1"/>
  <c r="J29" i="71"/>
  <c r="J56" i="71" s="1"/>
  <c r="T18" i="71"/>
  <c r="S18" i="71"/>
  <c r="R18" i="71"/>
  <c r="Q18" i="71"/>
  <c r="P18" i="71"/>
  <c r="O18" i="71"/>
  <c r="N18" i="71"/>
  <c r="M18" i="71"/>
  <c r="L18" i="71"/>
  <c r="K18" i="71"/>
  <c r="L17" i="71"/>
  <c r="T16" i="71"/>
  <c r="T17" i="71" s="1"/>
  <c r="S16" i="71"/>
  <c r="S17" i="71" s="1"/>
  <c r="R16" i="71"/>
  <c r="R23" i="71" s="1"/>
  <c r="Q16" i="71"/>
  <c r="Q25" i="71" s="1"/>
  <c r="Q31" i="71" s="1"/>
  <c r="Q43" i="71" s="1"/>
  <c r="P16" i="71"/>
  <c r="P25" i="71" s="1"/>
  <c r="P31" i="71" s="1"/>
  <c r="P43" i="71" s="1"/>
  <c r="P46" i="71" s="1"/>
  <c r="O16" i="71"/>
  <c r="O23" i="71" s="1"/>
  <c r="N16" i="71"/>
  <c r="N17" i="71" s="1"/>
  <c r="M16" i="71"/>
  <c r="M23" i="71" s="1"/>
  <c r="M104" i="71" s="1"/>
  <c r="L16" i="71"/>
  <c r="K14" i="71"/>
  <c r="K13" i="71"/>
  <c r="K9" i="71"/>
  <c r="K8" i="71"/>
  <c r="J65" i="71" s="1"/>
  <c r="D6" i="71"/>
  <c r="H4" i="71"/>
  <c r="O17" i="71" l="1"/>
  <c r="O25" i="71"/>
  <c r="O31" i="71" s="1"/>
  <c r="O43" i="71" s="1"/>
  <c r="O44" i="71" s="1"/>
  <c r="T25" i="71"/>
  <c r="T31" i="71" s="1"/>
  <c r="T43" i="71" s="1"/>
  <c r="T44" i="71" s="1"/>
  <c r="R25" i="71"/>
  <c r="R31" i="71" s="1"/>
  <c r="R43" i="71" s="1"/>
  <c r="R45" i="71" s="1"/>
  <c r="Q17" i="71"/>
  <c r="P23" i="71"/>
  <c r="P67" i="71" s="1"/>
  <c r="P68" i="71" s="1"/>
  <c r="P17" i="71"/>
  <c r="R17" i="71"/>
  <c r="T23" i="71"/>
  <c r="T27" i="71" s="1"/>
  <c r="K23" i="71"/>
  <c r="K73" i="71" s="1"/>
  <c r="K74" i="71" s="1"/>
  <c r="R50" i="71"/>
  <c r="Q49" i="71"/>
  <c r="Q50" i="71"/>
  <c r="Q44" i="71"/>
  <c r="Q51" i="71"/>
  <c r="Q45" i="71"/>
  <c r="Q53" i="71"/>
  <c r="Q58" i="71" s="1"/>
  <c r="Q46" i="71"/>
  <c r="Q55" i="71"/>
  <c r="Q61" i="71" s="1"/>
  <c r="Q71" i="71" s="1"/>
  <c r="Q85" i="71" s="1"/>
  <c r="Q89" i="71" s="1"/>
  <c r="Q94" i="71" s="1"/>
  <c r="Q96" i="71" s="1"/>
  <c r="Q47" i="71"/>
  <c r="Q48" i="71"/>
  <c r="T51" i="71"/>
  <c r="T53" i="71"/>
  <c r="T58" i="71" s="1"/>
  <c r="T49" i="71"/>
  <c r="T48" i="71"/>
  <c r="O48" i="71"/>
  <c r="O49" i="71"/>
  <c r="O45" i="71"/>
  <c r="O50" i="71"/>
  <c r="O51" i="71"/>
  <c r="O53" i="71"/>
  <c r="O58" i="71" s="1"/>
  <c r="O46" i="71"/>
  <c r="O55" i="71"/>
  <c r="O61" i="71" s="1"/>
  <c r="O71" i="71" s="1"/>
  <c r="O85" i="71" s="1"/>
  <c r="O89" i="71" s="1"/>
  <c r="O94" i="71" s="1"/>
  <c r="O96" i="71" s="1"/>
  <c r="O47" i="71"/>
  <c r="O57" i="71"/>
  <c r="M57" i="71"/>
  <c r="R57" i="71"/>
  <c r="P48" i="71"/>
  <c r="P55" i="71"/>
  <c r="P61" i="71" s="1"/>
  <c r="P71" i="71" s="1"/>
  <c r="P85" i="71" s="1"/>
  <c r="P89" i="71" s="1"/>
  <c r="P94" i="71" s="1"/>
  <c r="P96" i="71" s="1"/>
  <c r="P49" i="71"/>
  <c r="P50" i="71"/>
  <c r="P44" i="71"/>
  <c r="P51" i="71"/>
  <c r="P45" i="71"/>
  <c r="L23" i="71"/>
  <c r="L57" i="71" s="1"/>
  <c r="L25" i="71"/>
  <c r="L31" i="71" s="1"/>
  <c r="L43" i="71" s="1"/>
  <c r="M67" i="71"/>
  <c r="M68" i="71" s="1"/>
  <c r="M27" i="71"/>
  <c r="M28" i="71"/>
  <c r="M73" i="71"/>
  <c r="M74" i="71" s="1"/>
  <c r="P28" i="71"/>
  <c r="P104" i="71"/>
  <c r="J66" i="71"/>
  <c r="J69" i="71" s="1"/>
  <c r="P53" i="71"/>
  <c r="P58" i="71" s="1"/>
  <c r="N23" i="71"/>
  <c r="N25" i="71"/>
  <c r="N31" i="71" s="1"/>
  <c r="N43" i="71" s="1"/>
  <c r="R27" i="71"/>
  <c r="R28" i="71"/>
  <c r="R104" i="71"/>
  <c r="R29" i="71"/>
  <c r="R56" i="71" s="1"/>
  <c r="R73" i="71"/>
  <c r="R74" i="71" s="1"/>
  <c r="R67" i="71"/>
  <c r="R68" i="71" s="1"/>
  <c r="M29" i="71"/>
  <c r="M56" i="71" s="1"/>
  <c r="O67" i="71"/>
  <c r="O68" i="71" s="1"/>
  <c r="O28" i="71"/>
  <c r="O27" i="71"/>
  <c r="O104" i="71"/>
  <c r="O73" i="71"/>
  <c r="O74" i="71" s="1"/>
  <c r="O29" i="71"/>
  <c r="P47" i="71"/>
  <c r="J83" i="71"/>
  <c r="M17" i="71"/>
  <c r="Q23" i="71"/>
  <c r="Q57" i="71" s="1"/>
  <c r="S25" i="71"/>
  <c r="S31" i="71" s="1"/>
  <c r="S43" i="71" s="1"/>
  <c r="S23" i="71"/>
  <c r="S57" i="71" s="1"/>
  <c r="M25" i="71"/>
  <c r="M31" i="71" s="1"/>
  <c r="M43" i="71" s="1"/>
  <c r="J25" i="59"/>
  <c r="P29" i="71" l="1"/>
  <c r="P56" i="71" s="1"/>
  <c r="P27" i="71"/>
  <c r="P57" i="71"/>
  <c r="P73" i="71"/>
  <c r="P74" i="71" s="1"/>
  <c r="T50" i="71"/>
  <c r="T47" i="71"/>
  <c r="T55" i="71"/>
  <c r="T61" i="71" s="1"/>
  <c r="T71" i="71" s="1"/>
  <c r="T85" i="71" s="1"/>
  <c r="T89" i="71" s="1"/>
  <c r="T94" i="71" s="1"/>
  <c r="T96" i="71" s="1"/>
  <c r="T46" i="71"/>
  <c r="K29" i="71"/>
  <c r="K56" i="71" s="1"/>
  <c r="K57" i="71"/>
  <c r="K28" i="71"/>
  <c r="K27" i="71"/>
  <c r="K67" i="71"/>
  <c r="K68" i="71" s="1"/>
  <c r="K104" i="71"/>
  <c r="T45" i="71"/>
  <c r="R55" i="71"/>
  <c r="R61" i="71" s="1"/>
  <c r="R71" i="71" s="1"/>
  <c r="R85" i="71" s="1"/>
  <c r="R89" i="71" s="1"/>
  <c r="R94" i="71" s="1"/>
  <c r="R96" i="71" s="1"/>
  <c r="R49" i="71"/>
  <c r="R47" i="71"/>
  <c r="R48" i="71"/>
  <c r="T57" i="71"/>
  <c r="T67" i="71"/>
  <c r="T68" i="71" s="1"/>
  <c r="T73" i="71"/>
  <c r="T74" i="71" s="1"/>
  <c r="R46" i="71"/>
  <c r="R53" i="71"/>
  <c r="R58" i="71" s="1"/>
  <c r="R59" i="71" s="1"/>
  <c r="R105" i="71" s="1"/>
  <c r="T104" i="71"/>
  <c r="T28" i="71"/>
  <c r="R51" i="71"/>
  <c r="T29" i="71"/>
  <c r="T56" i="71" s="1"/>
  <c r="R44" i="71"/>
  <c r="R32" i="71"/>
  <c r="R35" i="71" s="1"/>
  <c r="N48" i="71"/>
  <c r="N49" i="71"/>
  <c r="N50" i="71"/>
  <c r="N44" i="71"/>
  <c r="N47" i="71"/>
  <c r="N45" i="71"/>
  <c r="N46" i="71"/>
  <c r="N55" i="71"/>
  <c r="N61" i="71" s="1"/>
  <c r="N71" i="71" s="1"/>
  <c r="N85" i="71" s="1"/>
  <c r="N89" i="71" s="1"/>
  <c r="N94" i="71" s="1"/>
  <c r="N96" i="71" s="1"/>
  <c r="N53" i="71"/>
  <c r="N58" i="71" s="1"/>
  <c r="N51" i="71"/>
  <c r="N67" i="71"/>
  <c r="N68" i="71" s="1"/>
  <c r="N27" i="71"/>
  <c r="N104" i="71"/>
  <c r="N29" i="71"/>
  <c r="N56" i="71" s="1"/>
  <c r="N73" i="71"/>
  <c r="N74" i="71" s="1"/>
  <c r="N28" i="71"/>
  <c r="O32" i="71"/>
  <c r="O56" i="71"/>
  <c r="O59" i="71" s="1"/>
  <c r="O105" i="71" s="1"/>
  <c r="K59" i="71"/>
  <c r="M32" i="71"/>
  <c r="P32" i="71"/>
  <c r="L55" i="71"/>
  <c r="L61" i="71" s="1"/>
  <c r="L71" i="71" s="1"/>
  <c r="L85" i="71" s="1"/>
  <c r="L89" i="71" s="1"/>
  <c r="L94" i="71" s="1"/>
  <c r="L96" i="71" s="1"/>
  <c r="L47" i="71"/>
  <c r="L48" i="71"/>
  <c r="L49" i="71"/>
  <c r="L45" i="71"/>
  <c r="L44" i="71"/>
  <c r="L50" i="71"/>
  <c r="L53" i="71"/>
  <c r="L58" i="71" s="1"/>
  <c r="L51" i="71"/>
  <c r="L46" i="71"/>
  <c r="Q103" i="71"/>
  <c r="Q111" i="71" s="1"/>
  <c r="Q118" i="71" s="1"/>
  <c r="Q97" i="71"/>
  <c r="Q95" i="71"/>
  <c r="N57" i="71"/>
  <c r="M55" i="71"/>
  <c r="M61" i="71" s="1"/>
  <c r="M71" i="71" s="1"/>
  <c r="M85" i="71" s="1"/>
  <c r="M89" i="71" s="1"/>
  <c r="M94" i="71" s="1"/>
  <c r="M96" i="71" s="1"/>
  <c r="M47" i="71"/>
  <c r="M48" i="71"/>
  <c r="M49" i="71"/>
  <c r="M50" i="71"/>
  <c r="M44" i="71"/>
  <c r="M51" i="71"/>
  <c r="M45" i="71"/>
  <c r="M53" i="71"/>
  <c r="M58" i="71" s="1"/>
  <c r="M59" i="71" s="1"/>
  <c r="M105" i="71" s="1"/>
  <c r="M46" i="71"/>
  <c r="L67" i="71"/>
  <c r="L68" i="71" s="1"/>
  <c r="L104" i="71"/>
  <c r="L29" i="71"/>
  <c r="L56" i="71" s="1"/>
  <c r="L28" i="71"/>
  <c r="L27" i="71"/>
  <c r="L73" i="71"/>
  <c r="L74" i="71" s="1"/>
  <c r="P59" i="71"/>
  <c r="P105" i="71" s="1"/>
  <c r="P97" i="71"/>
  <c r="P95" i="71"/>
  <c r="P103" i="71"/>
  <c r="P111" i="71" s="1"/>
  <c r="P118" i="71" s="1"/>
  <c r="O97" i="71"/>
  <c r="O95" i="71"/>
  <c r="O103" i="71"/>
  <c r="O111" i="71" s="1"/>
  <c r="O118" i="71" s="1"/>
  <c r="S50" i="71"/>
  <c r="S44" i="71"/>
  <c r="S45" i="71"/>
  <c r="S51" i="71"/>
  <c r="S53" i="71"/>
  <c r="S58" i="71" s="1"/>
  <c r="S46" i="71"/>
  <c r="S47" i="71"/>
  <c r="S55" i="71"/>
  <c r="S61" i="71" s="1"/>
  <c r="S71" i="71" s="1"/>
  <c r="S85" i="71" s="1"/>
  <c r="S89" i="71" s="1"/>
  <c r="S94" i="71" s="1"/>
  <c r="S96" i="71" s="1"/>
  <c r="S48" i="71"/>
  <c r="S49" i="71"/>
  <c r="S27" i="71"/>
  <c r="S28" i="71"/>
  <c r="S104" i="71"/>
  <c r="S29" i="71"/>
  <c r="S56" i="71" s="1"/>
  <c r="S73" i="71"/>
  <c r="S74" i="71" s="1"/>
  <c r="S67" i="71"/>
  <c r="S68" i="71" s="1"/>
  <c r="Q27" i="71"/>
  <c r="Q28" i="71"/>
  <c r="Q104" i="71"/>
  <c r="Q29" i="71"/>
  <c r="Q56" i="71" s="1"/>
  <c r="Q59" i="71" s="1"/>
  <c r="Q105" i="71" s="1"/>
  <c r="Q73" i="71"/>
  <c r="Q74" i="71" s="1"/>
  <c r="Q67" i="71"/>
  <c r="Q68" i="71" s="1"/>
  <c r="T103" i="71"/>
  <c r="T111" i="71" s="1"/>
  <c r="T118" i="71" s="1"/>
  <c r="T97" i="71"/>
  <c r="F12" i="24"/>
  <c r="F13" i="24"/>
  <c r="F55" i="67"/>
  <c r="F50" i="67"/>
  <c r="E51" i="66"/>
  <c r="F44" i="66"/>
  <c r="F60" i="58"/>
  <c r="F55" i="58"/>
  <c r="F50" i="58"/>
  <c r="T95" i="71" l="1"/>
  <c r="K32" i="71"/>
  <c r="E52" i="66"/>
  <c r="T59" i="71"/>
  <c r="T105" i="71" s="1"/>
  <c r="R95" i="71"/>
  <c r="R103" i="71"/>
  <c r="R111" i="71" s="1"/>
  <c r="R118" i="71" s="1"/>
  <c r="R97" i="71"/>
  <c r="T32" i="71"/>
  <c r="T37" i="71" s="1"/>
  <c r="R34" i="71"/>
  <c r="T38" i="71"/>
  <c r="T40" i="71"/>
  <c r="R37" i="71"/>
  <c r="R40" i="71"/>
  <c r="R62" i="71"/>
  <c r="R63" i="71" s="1"/>
  <c r="R41" i="71"/>
  <c r="R38" i="71"/>
  <c r="R39" i="71"/>
  <c r="R36" i="71"/>
  <c r="R33" i="71"/>
  <c r="S59" i="71"/>
  <c r="S105" i="71" s="1"/>
  <c r="L59" i="71"/>
  <c r="L105" i="71" s="1"/>
  <c r="Q100" i="71"/>
  <c r="Q108" i="71" s="1"/>
  <c r="O41" i="71"/>
  <c r="O39" i="71"/>
  <c r="O33" i="71"/>
  <c r="O34" i="71"/>
  <c r="O35" i="71"/>
  <c r="O36" i="71"/>
  <c r="O62" i="71"/>
  <c r="O37" i="71"/>
  <c r="O38" i="71"/>
  <c r="O40" i="71"/>
  <c r="M97" i="71"/>
  <c r="M95" i="71"/>
  <c r="M103" i="71"/>
  <c r="M111" i="71" s="1"/>
  <c r="M118" i="71" s="1"/>
  <c r="N97" i="71"/>
  <c r="N95" i="71"/>
  <c r="N103" i="71"/>
  <c r="N111" i="71" s="1"/>
  <c r="N118" i="71" s="1"/>
  <c r="Q32" i="71"/>
  <c r="O100" i="71"/>
  <c r="O108" i="71" s="1"/>
  <c r="L32" i="71"/>
  <c r="N59" i="71"/>
  <c r="N105" i="71" s="1"/>
  <c r="T100" i="71"/>
  <c r="T108" i="71" s="1"/>
  <c r="P100" i="71"/>
  <c r="P108" i="71" s="1"/>
  <c r="L97" i="71"/>
  <c r="L95" i="71"/>
  <c r="L103" i="71"/>
  <c r="L111" i="71" s="1"/>
  <c r="L118" i="71" s="1"/>
  <c r="K62" i="71"/>
  <c r="K37" i="71"/>
  <c r="K38" i="71"/>
  <c r="K40" i="71"/>
  <c r="K41" i="71"/>
  <c r="K39" i="71"/>
  <c r="K33" i="71"/>
  <c r="K34" i="71"/>
  <c r="K35" i="71"/>
  <c r="K36" i="71"/>
  <c r="P34" i="71"/>
  <c r="P35" i="71"/>
  <c r="P36" i="71"/>
  <c r="P40" i="71"/>
  <c r="P62" i="71"/>
  <c r="P39" i="71"/>
  <c r="P41" i="71"/>
  <c r="P37" i="71"/>
  <c r="P38" i="71"/>
  <c r="P33" i="71"/>
  <c r="M38" i="71"/>
  <c r="M41" i="71"/>
  <c r="M39" i="71"/>
  <c r="M33" i="71"/>
  <c r="M40" i="71"/>
  <c r="M35" i="71"/>
  <c r="M34" i="71"/>
  <c r="M36" i="71"/>
  <c r="M62" i="71"/>
  <c r="M37" i="71"/>
  <c r="S103" i="71"/>
  <c r="S111" i="71" s="1"/>
  <c r="S118" i="71" s="1"/>
  <c r="S97" i="71"/>
  <c r="S95" i="71"/>
  <c r="K105" i="71"/>
  <c r="S32" i="71"/>
  <c r="N32" i="71"/>
  <c r="F11" i="24"/>
  <c r="T39" i="71" l="1"/>
  <c r="T34" i="71"/>
  <c r="T41" i="71"/>
  <c r="R100" i="71"/>
  <c r="R108" i="71" s="1"/>
  <c r="T62" i="71"/>
  <c r="T66" i="71" s="1"/>
  <c r="R65" i="71"/>
  <c r="T36" i="71"/>
  <c r="T33" i="71"/>
  <c r="T35" i="71"/>
  <c r="T63" i="71"/>
  <c r="R66" i="71"/>
  <c r="R75" i="71"/>
  <c r="R78" i="71" s="1"/>
  <c r="R64" i="71"/>
  <c r="L100" i="71"/>
  <c r="L108" i="71" s="1"/>
  <c r="M100" i="71"/>
  <c r="M108" i="71" s="1"/>
  <c r="S100" i="71"/>
  <c r="S108" i="71" s="1"/>
  <c r="N100" i="71"/>
  <c r="N108" i="71" s="1"/>
  <c r="O75" i="71"/>
  <c r="O63" i="71"/>
  <c r="O65" i="71"/>
  <c r="O64" i="71"/>
  <c r="O66" i="71"/>
  <c r="P64" i="71"/>
  <c r="P66" i="71"/>
  <c r="P75" i="71"/>
  <c r="P65" i="71"/>
  <c r="P63" i="71"/>
  <c r="K63" i="71"/>
  <c r="K64" i="71"/>
  <c r="K65" i="71"/>
  <c r="K66" i="71"/>
  <c r="K75" i="71"/>
  <c r="L38" i="71"/>
  <c r="L40" i="71"/>
  <c r="L41" i="71"/>
  <c r="L39" i="71"/>
  <c r="L33" i="71"/>
  <c r="L34" i="71"/>
  <c r="L35" i="71"/>
  <c r="L37" i="71"/>
  <c r="L62" i="71"/>
  <c r="L36" i="71"/>
  <c r="N40" i="71"/>
  <c r="N41" i="71"/>
  <c r="N39" i="71"/>
  <c r="N33" i="71"/>
  <c r="N34" i="71"/>
  <c r="N35" i="71"/>
  <c r="N36" i="71"/>
  <c r="N62" i="71"/>
  <c r="N37" i="71"/>
  <c r="N38" i="71"/>
  <c r="S35" i="71"/>
  <c r="S36" i="71"/>
  <c r="S62" i="71"/>
  <c r="S37" i="71"/>
  <c r="S38" i="71"/>
  <c r="S41" i="71"/>
  <c r="S39" i="71"/>
  <c r="S33" i="71"/>
  <c r="S34" i="71"/>
  <c r="S40" i="71"/>
  <c r="Q34" i="71"/>
  <c r="Q35" i="71"/>
  <c r="Q37" i="71"/>
  <c r="Q36" i="71"/>
  <c r="Q62" i="71"/>
  <c r="Q38" i="71"/>
  <c r="Q41" i="71"/>
  <c r="Q39" i="71"/>
  <c r="Q33" i="71"/>
  <c r="Q40" i="71"/>
  <c r="M65" i="71"/>
  <c r="M66" i="71"/>
  <c r="M75" i="71"/>
  <c r="M63" i="71"/>
  <c r="M64" i="71"/>
  <c r="G26" i="66"/>
  <c r="F40" i="66"/>
  <c r="I120" i="65"/>
  <c r="I119" i="65"/>
  <c r="I118" i="65"/>
  <c r="I121" i="65" s="1"/>
  <c r="I123" i="65" s="1"/>
  <c r="I83" i="65"/>
  <c r="I61" i="65"/>
  <c r="I108" i="65" s="1"/>
  <c r="J57" i="65"/>
  <c r="I57" i="65"/>
  <c r="J46" i="65"/>
  <c r="J128" i="65" s="1"/>
  <c r="J42" i="65"/>
  <c r="J38" i="65"/>
  <c r="J127" i="65" s="1"/>
  <c r="J32" i="65"/>
  <c r="J27" i="65"/>
  <c r="J83" i="65" s="1"/>
  <c r="J85" i="65" s="1"/>
  <c r="I85" i="65" s="1"/>
  <c r="J25" i="65"/>
  <c r="J23" i="65"/>
  <c r="I19" i="65"/>
  <c r="G50" i="58"/>
  <c r="H50" i="58" s="1"/>
  <c r="H51" i="58" s="1"/>
  <c r="J25" i="63"/>
  <c r="I120" i="63"/>
  <c r="I119" i="63"/>
  <c r="I118" i="63"/>
  <c r="I121" i="63" s="1"/>
  <c r="I123" i="63" s="1"/>
  <c r="I83" i="63"/>
  <c r="I61" i="63"/>
  <c r="I108" i="63" s="1"/>
  <c r="I57" i="63"/>
  <c r="J42" i="63"/>
  <c r="J46" i="63" s="1"/>
  <c r="J128" i="63" s="1"/>
  <c r="J32" i="63"/>
  <c r="J38" i="63" s="1"/>
  <c r="J127" i="63" s="1"/>
  <c r="J23" i="63"/>
  <c r="I19" i="63"/>
  <c r="K133" i="65"/>
  <c r="K133" i="63"/>
  <c r="T65" i="71" l="1"/>
  <c r="T75" i="71"/>
  <c r="T79" i="71" s="1"/>
  <c r="R69" i="71"/>
  <c r="R106" i="71" s="1"/>
  <c r="T64" i="71"/>
  <c r="T69" i="71" s="1"/>
  <c r="T106" i="71" s="1"/>
  <c r="R76" i="71"/>
  <c r="T78" i="71"/>
  <c r="T76" i="71"/>
  <c r="R77" i="71"/>
  <c r="T81" i="71"/>
  <c r="T80" i="71"/>
  <c r="R82" i="71"/>
  <c r="R81" i="71"/>
  <c r="R80" i="71"/>
  <c r="T77" i="71"/>
  <c r="R79" i="71"/>
  <c r="M69" i="71"/>
  <c r="M106" i="71" s="1"/>
  <c r="P69" i="71"/>
  <c r="P106" i="71" s="1"/>
  <c r="K69" i="71"/>
  <c r="P76" i="71"/>
  <c r="P77" i="71"/>
  <c r="P78" i="71"/>
  <c r="P79" i="71"/>
  <c r="P80" i="71"/>
  <c r="P81" i="71"/>
  <c r="P82" i="71"/>
  <c r="Q63" i="71"/>
  <c r="Q65" i="71"/>
  <c r="Q75" i="71"/>
  <c r="Q66" i="71"/>
  <c r="Q64" i="71"/>
  <c r="S63" i="71"/>
  <c r="S64" i="71"/>
  <c r="S65" i="71"/>
  <c r="S75" i="71"/>
  <c r="S66" i="71"/>
  <c r="N66" i="71"/>
  <c r="N75" i="71"/>
  <c r="N64" i="71"/>
  <c r="N65" i="71"/>
  <c r="N63" i="71"/>
  <c r="M76" i="71"/>
  <c r="M80" i="71"/>
  <c r="M77" i="71"/>
  <c r="M78" i="71"/>
  <c r="M79" i="71"/>
  <c r="M81" i="71"/>
  <c r="M82" i="71"/>
  <c r="K82" i="71"/>
  <c r="K76" i="71"/>
  <c r="K78" i="71"/>
  <c r="K77" i="71"/>
  <c r="K79" i="71"/>
  <c r="K81" i="71"/>
  <c r="K80" i="71"/>
  <c r="O69" i="71"/>
  <c r="O106" i="71" s="1"/>
  <c r="L64" i="71"/>
  <c r="L65" i="71"/>
  <c r="L66" i="71"/>
  <c r="L75" i="71"/>
  <c r="L63" i="71"/>
  <c r="O76" i="71"/>
  <c r="O77" i="71"/>
  <c r="O78" i="71"/>
  <c r="O79" i="71"/>
  <c r="O80" i="71"/>
  <c r="O81" i="71"/>
  <c r="O82" i="71"/>
  <c r="J94" i="65"/>
  <c r="I94" i="65" s="1"/>
  <c r="I102" i="65" s="1"/>
  <c r="J126" i="65"/>
  <c r="J51" i="65"/>
  <c r="J59" i="65"/>
  <c r="J52" i="65"/>
  <c r="J60" i="65"/>
  <c r="J96" i="65"/>
  <c r="I96" i="65" s="1"/>
  <c r="J53" i="65"/>
  <c r="J79" i="65"/>
  <c r="J87" i="65"/>
  <c r="I87" i="65" s="1"/>
  <c r="J98" i="65"/>
  <c r="I98" i="65" s="1"/>
  <c r="J54" i="65"/>
  <c r="J55" i="65"/>
  <c r="J72" i="65"/>
  <c r="J64" i="65"/>
  <c r="J92" i="65"/>
  <c r="J102" i="65" s="1"/>
  <c r="J100" i="65"/>
  <c r="I100" i="65" s="1"/>
  <c r="J56" i="65"/>
  <c r="J27" i="63"/>
  <c r="J83" i="63" s="1"/>
  <c r="J85" i="63" s="1"/>
  <c r="I85" i="63" s="1"/>
  <c r="J87" i="63"/>
  <c r="I87" i="63" s="1"/>
  <c r="J96" i="63"/>
  <c r="I96" i="63" s="1"/>
  <c r="J52" i="63"/>
  <c r="J100" i="63"/>
  <c r="I100" i="63" s="1"/>
  <c r="J92" i="63"/>
  <c r="J64" i="63"/>
  <c r="J56" i="63"/>
  <c r="J79" i="63"/>
  <c r="J72" i="63"/>
  <c r="J55" i="63"/>
  <c r="J60" i="63"/>
  <c r="J98" i="63"/>
  <c r="I98" i="63" s="1"/>
  <c r="J54" i="63"/>
  <c r="J59" i="63"/>
  <c r="J51" i="63"/>
  <c r="J53" i="63"/>
  <c r="J126" i="63"/>
  <c r="J94" i="63"/>
  <c r="I94" i="63" s="1"/>
  <c r="J57" i="63"/>
  <c r="I120" i="59"/>
  <c r="I119" i="59"/>
  <c r="I118" i="59"/>
  <c r="I121" i="59" s="1"/>
  <c r="I123" i="59" s="1"/>
  <c r="I83" i="59"/>
  <c r="I57" i="59"/>
  <c r="I61" i="59" s="1"/>
  <c r="I108" i="59" s="1"/>
  <c r="J42" i="59"/>
  <c r="J46" i="59" s="1"/>
  <c r="J128" i="59" s="1"/>
  <c r="J32" i="59"/>
  <c r="J23" i="59"/>
  <c r="I31" i="59" s="1"/>
  <c r="J30" i="59" s="1"/>
  <c r="J38" i="59" s="1"/>
  <c r="J127" i="59" s="1"/>
  <c r="I19" i="59"/>
  <c r="K133" i="59"/>
  <c r="T82" i="71" l="1"/>
  <c r="T83" i="71" s="1"/>
  <c r="T90" i="71" s="1"/>
  <c r="T92" i="71" s="1"/>
  <c r="T107" i="71" s="1"/>
  <c r="T109" i="71" s="1"/>
  <c r="T112" i="71" s="1"/>
  <c r="T113" i="71" s="1"/>
  <c r="R83" i="71"/>
  <c r="R90" i="71" s="1"/>
  <c r="R92" i="71" s="1"/>
  <c r="R107" i="71" s="1"/>
  <c r="R109" i="71" s="1"/>
  <c r="R112" i="71" s="1"/>
  <c r="R113" i="71" s="1"/>
  <c r="Q69" i="71"/>
  <c r="Q106" i="71" s="1"/>
  <c r="N76" i="71"/>
  <c r="N77" i="71"/>
  <c r="N78" i="71"/>
  <c r="N81" i="71"/>
  <c r="N79" i="71"/>
  <c r="N80" i="71"/>
  <c r="N82" i="71"/>
  <c r="S79" i="71"/>
  <c r="S80" i="71"/>
  <c r="S81" i="71"/>
  <c r="S82" i="71"/>
  <c r="S77" i="71"/>
  <c r="S78" i="71"/>
  <c r="S76" i="71"/>
  <c r="L79" i="71"/>
  <c r="L76" i="71"/>
  <c r="L77" i="71"/>
  <c r="L78" i="71"/>
  <c r="L80" i="71"/>
  <c r="L82" i="71"/>
  <c r="L81" i="71"/>
  <c r="M83" i="71"/>
  <c r="M90" i="71" s="1"/>
  <c r="M92" i="71" s="1"/>
  <c r="M107" i="71" s="1"/>
  <c r="S69" i="71"/>
  <c r="S106" i="71" s="1"/>
  <c r="P83" i="71"/>
  <c r="P90" i="71" s="1"/>
  <c r="P92" i="71" s="1"/>
  <c r="P107" i="71" s="1"/>
  <c r="O83" i="71"/>
  <c r="O90" i="71" s="1"/>
  <c r="O92" i="71" s="1"/>
  <c r="O107" i="71" s="1"/>
  <c r="K83" i="71"/>
  <c r="K90" i="71" s="1"/>
  <c r="K92" i="71" s="1"/>
  <c r="K107" i="71" s="1"/>
  <c r="N69" i="71"/>
  <c r="N106" i="71" s="1"/>
  <c r="Q77" i="71"/>
  <c r="Q78" i="71"/>
  <c r="Q79" i="71"/>
  <c r="Q80" i="71"/>
  <c r="Q81" i="71"/>
  <c r="Q82" i="71"/>
  <c r="Q76" i="71"/>
  <c r="L69" i="71"/>
  <c r="L106" i="71" s="1"/>
  <c r="K106" i="71"/>
  <c r="J103" i="65"/>
  <c r="I103" i="65" s="1"/>
  <c r="I105" i="65" s="1"/>
  <c r="I112" i="65" s="1"/>
  <c r="J66" i="65"/>
  <c r="I64" i="65"/>
  <c r="I69" i="65" s="1"/>
  <c r="I109" i="65" s="1"/>
  <c r="J81" i="65"/>
  <c r="I81" i="65" s="1"/>
  <c r="I79" i="65"/>
  <c r="I89" i="65" s="1"/>
  <c r="I111" i="65" s="1"/>
  <c r="J61" i="65"/>
  <c r="J108" i="65" s="1"/>
  <c r="J74" i="65"/>
  <c r="I74" i="65" s="1"/>
  <c r="I72" i="65"/>
  <c r="I76" i="65" s="1"/>
  <c r="I110" i="65" s="1"/>
  <c r="J76" i="65"/>
  <c r="J110" i="65" s="1"/>
  <c r="J66" i="63"/>
  <c r="I64" i="63"/>
  <c r="I69" i="63" s="1"/>
  <c r="I109" i="63" s="1"/>
  <c r="J102" i="63"/>
  <c r="J74" i="63"/>
  <c r="I74" i="63" s="1"/>
  <c r="I72" i="63"/>
  <c r="I102" i="63"/>
  <c r="J61" i="63"/>
  <c r="J108" i="63" s="1"/>
  <c r="J81" i="63"/>
  <c r="I81" i="63" s="1"/>
  <c r="I79" i="63"/>
  <c r="J27" i="59"/>
  <c r="O109" i="71" l="1"/>
  <c r="P109" i="71"/>
  <c r="M109" i="71"/>
  <c r="M112" i="71" s="1"/>
  <c r="M113" i="71" s="1"/>
  <c r="K100" i="71"/>
  <c r="K108" i="71" s="1"/>
  <c r="S83" i="71"/>
  <c r="S90" i="71" s="1"/>
  <c r="S92" i="71" s="1"/>
  <c r="S107" i="71" s="1"/>
  <c r="O112" i="71"/>
  <c r="O113" i="71" s="1"/>
  <c r="L83" i="71"/>
  <c r="L90" i="71" s="1"/>
  <c r="L92" i="71" s="1"/>
  <c r="L107" i="71" s="1"/>
  <c r="P112" i="71"/>
  <c r="N83" i="71"/>
  <c r="N90" i="71" s="1"/>
  <c r="N92" i="71" s="1"/>
  <c r="N107" i="71" s="1"/>
  <c r="Q83" i="71"/>
  <c r="Q90" i="71" s="1"/>
  <c r="Q92" i="71" s="1"/>
  <c r="Q107" i="71" s="1"/>
  <c r="T116" i="71"/>
  <c r="R116" i="71"/>
  <c r="J89" i="65"/>
  <c r="J111" i="65" s="1"/>
  <c r="I113" i="65"/>
  <c r="K66" i="65"/>
  <c r="J67" i="65"/>
  <c r="J69" i="65" s="1"/>
  <c r="J109" i="65" s="1"/>
  <c r="J113" i="65" s="1"/>
  <c r="J105" i="65"/>
  <c r="J112" i="65" s="1"/>
  <c r="J103" i="63"/>
  <c r="I103" i="63" s="1"/>
  <c r="I105" i="63" s="1"/>
  <c r="I112" i="63" s="1"/>
  <c r="I76" i="63"/>
  <c r="I110" i="63" s="1"/>
  <c r="I89" i="63"/>
  <c r="I111" i="63" s="1"/>
  <c r="J89" i="63"/>
  <c r="J111" i="63" s="1"/>
  <c r="J76" i="63"/>
  <c r="J110" i="63" s="1"/>
  <c r="J67" i="63"/>
  <c r="K66" i="63"/>
  <c r="J69" i="63"/>
  <c r="J109" i="63" s="1"/>
  <c r="J83" i="59"/>
  <c r="J85" i="59" s="1"/>
  <c r="I85" i="59" s="1"/>
  <c r="J100" i="59"/>
  <c r="I100" i="59" s="1"/>
  <c r="J92" i="59"/>
  <c r="J64" i="59"/>
  <c r="J56" i="59"/>
  <c r="J53" i="59"/>
  <c r="J72" i="59"/>
  <c r="J55" i="59"/>
  <c r="J98" i="59"/>
  <c r="I98" i="59" s="1"/>
  <c r="J54" i="59"/>
  <c r="J87" i="59"/>
  <c r="I87" i="59" s="1"/>
  <c r="J79" i="59"/>
  <c r="J96" i="59"/>
  <c r="I96" i="59" s="1"/>
  <c r="J60" i="59"/>
  <c r="J52" i="59"/>
  <c r="J59" i="59"/>
  <c r="J51" i="59"/>
  <c r="J126" i="59"/>
  <c r="J94" i="59"/>
  <c r="I94" i="59" s="1"/>
  <c r="J57" i="59"/>
  <c r="L109" i="71" l="1"/>
  <c r="L112" i="71" s="1"/>
  <c r="N109" i="71"/>
  <c r="S109" i="71"/>
  <c r="S112" i="71" s="1"/>
  <c r="S113" i="71" s="1"/>
  <c r="Q109" i="71"/>
  <c r="K109" i="71"/>
  <c r="K112" i="71" s="1"/>
  <c r="K113" i="71" s="1"/>
  <c r="K118" i="71" s="1"/>
  <c r="Q112" i="71"/>
  <c r="Q113" i="71" s="1"/>
  <c r="N112" i="71"/>
  <c r="N113" i="71" s="1"/>
  <c r="P113" i="71"/>
  <c r="P116" i="71" s="1"/>
  <c r="M116" i="71"/>
  <c r="O116" i="71"/>
  <c r="J129" i="65"/>
  <c r="J130" i="65" s="1"/>
  <c r="J116" i="65"/>
  <c r="K116" i="65"/>
  <c r="I113" i="63"/>
  <c r="J105" i="63"/>
  <c r="J112" i="63" s="1"/>
  <c r="J113" i="63" s="1"/>
  <c r="I102" i="59"/>
  <c r="J74" i="59"/>
  <c r="I74" i="59" s="1"/>
  <c r="I72" i="59"/>
  <c r="J81" i="59"/>
  <c r="I81" i="59" s="1"/>
  <c r="I79" i="59"/>
  <c r="I64" i="59"/>
  <c r="I69" i="59" s="1"/>
  <c r="I109" i="59" s="1"/>
  <c r="J66" i="59"/>
  <c r="J61" i="59"/>
  <c r="J108" i="59" s="1"/>
  <c r="J102" i="59"/>
  <c r="K115" i="71" l="1"/>
  <c r="E15" i="67"/>
  <c r="L113" i="71"/>
  <c r="L116" i="71" s="1"/>
  <c r="N116" i="71"/>
  <c r="Q116" i="71"/>
  <c r="K116" i="71"/>
  <c r="S116" i="71"/>
  <c r="J76" i="59"/>
  <c r="J110" i="59" s="1"/>
  <c r="G20" i="66"/>
  <c r="K122" i="65"/>
  <c r="J122" i="65" s="1"/>
  <c r="K119" i="65" s="1"/>
  <c r="J129" i="63"/>
  <c r="J130" i="63" s="1"/>
  <c r="J116" i="63"/>
  <c r="K116" i="63"/>
  <c r="J89" i="59"/>
  <c r="J111" i="59" s="1"/>
  <c r="I89" i="59"/>
  <c r="I111" i="59" s="1"/>
  <c r="J103" i="59"/>
  <c r="I103" i="59" s="1"/>
  <c r="I105" i="59" s="1"/>
  <c r="I112" i="59" s="1"/>
  <c r="I76" i="59"/>
  <c r="I110" i="59" s="1"/>
  <c r="J67" i="59"/>
  <c r="J69" i="59" s="1"/>
  <c r="J109" i="59" s="1"/>
  <c r="K66" i="59"/>
  <c r="E50" i="66" l="1"/>
  <c r="G50" i="66" s="1"/>
  <c r="E49" i="66"/>
  <c r="J119" i="65"/>
  <c r="J118" i="65"/>
  <c r="J120" i="65"/>
  <c r="K122" i="63"/>
  <c r="J122" i="63" s="1"/>
  <c r="K119" i="63" s="1"/>
  <c r="I113" i="59"/>
  <c r="J105" i="59"/>
  <c r="J112" i="59" s="1"/>
  <c r="J113" i="59" s="1"/>
  <c r="J121" i="65" l="1"/>
  <c r="J123" i="65" s="1"/>
  <c r="J131" i="65" s="1"/>
  <c r="J132" i="65" s="1"/>
  <c r="E40" i="58" s="1"/>
  <c r="G40" i="58" s="1"/>
  <c r="G41" i="58" s="1"/>
  <c r="J119" i="63"/>
  <c r="J118" i="63"/>
  <c r="J120" i="63"/>
  <c r="J129" i="59"/>
  <c r="J130" i="59" s="1"/>
  <c r="J116" i="59"/>
  <c r="K116" i="59"/>
  <c r="J121" i="63" l="1"/>
  <c r="J123" i="63" s="1"/>
  <c r="J131" i="63" s="1"/>
  <c r="J132" i="63" s="1"/>
  <c r="K122" i="59"/>
  <c r="J122" i="59" s="1"/>
  <c r="K119" i="59" s="1"/>
  <c r="G15" i="66" l="1"/>
  <c r="G16" i="66" s="1"/>
  <c r="G21" i="66"/>
  <c r="E35" i="66"/>
  <c r="G35" i="66" s="1"/>
  <c r="G36" i="66" s="1"/>
  <c r="G52" i="66" s="1"/>
  <c r="H44" i="66"/>
  <c r="H45" i="66" s="1"/>
  <c r="E30" i="66"/>
  <c r="G30" i="66" s="1"/>
  <c r="G31" i="66" s="1"/>
  <c r="G51" i="66" s="1"/>
  <c r="G40" i="66"/>
  <c r="H40" i="66" s="1"/>
  <c r="E30" i="58"/>
  <c r="G30" i="58" s="1"/>
  <c r="G31" i="58" s="1"/>
  <c r="E45" i="58"/>
  <c r="G45" i="58" s="1"/>
  <c r="G46" i="58" s="1"/>
  <c r="E25" i="58"/>
  <c r="G25" i="58" s="1"/>
  <c r="G26" i="58" s="1"/>
  <c r="E35" i="58"/>
  <c r="G35" i="58" s="1"/>
  <c r="G36" i="58" s="1"/>
  <c r="G20" i="58"/>
  <c r="J119" i="59"/>
  <c r="J118" i="59"/>
  <c r="J120" i="59"/>
  <c r="E54" i="66" l="1"/>
  <c r="G54" i="66" s="1"/>
  <c r="E53" i="66"/>
  <c r="G53" i="66" s="1"/>
  <c r="E48" i="66"/>
  <c r="G48" i="66" s="1"/>
  <c r="G49" i="66"/>
  <c r="J121" i="59"/>
  <c r="J123" i="59" s="1"/>
  <c r="J131" i="59" s="1"/>
  <c r="J132" i="59" s="1"/>
  <c r="E35" i="67" s="1"/>
  <c r="G35" i="67" s="1"/>
  <c r="G36" i="67" s="1"/>
  <c r="G55" i="66" l="1"/>
  <c r="G57" i="66" s="1"/>
  <c r="H60" i="58"/>
  <c r="H61" i="58" s="1"/>
  <c r="E69" i="58" s="1"/>
  <c r="H55" i="58"/>
  <c r="H56" i="58" s="1"/>
  <c r="E68" i="58" s="1"/>
  <c r="G21" i="58"/>
  <c r="E64" i="58" l="1"/>
  <c r="G64" i="58" s="1"/>
  <c r="E67" i="58"/>
  <c r="E70" i="58"/>
  <c r="G70" i="58" s="1"/>
  <c r="G69" i="58"/>
  <c r="G68" i="58"/>
  <c r="G65" i="58"/>
  <c r="G63" i="58"/>
  <c r="G67" i="58"/>
  <c r="G66" i="58"/>
  <c r="G71" i="58" l="1"/>
  <c r="G73" i="58" s="1"/>
  <c r="D33" i="57" l="1"/>
  <c r="D32" i="57"/>
  <c r="E30" i="56"/>
  <c r="E31" i="56" s="1"/>
  <c r="E6" i="6" l="1"/>
  <c r="E7" i="6"/>
  <c r="E8" i="6"/>
  <c r="E9" i="6"/>
  <c r="E5" i="6"/>
  <c r="D14" i="24" l="1"/>
  <c r="E10" i="19" l="1"/>
  <c r="E64" i="20" l="1"/>
  <c r="E25" i="20"/>
  <c r="E28" i="20" l="1"/>
  <c r="E29" i="20"/>
  <c r="E32" i="20"/>
  <c r="E33" i="20"/>
  <c r="E31" i="15"/>
  <c r="E29" i="15"/>
  <c r="H8" i="19"/>
  <c r="H9" i="19"/>
  <c r="H7" i="19"/>
  <c r="G10" i="19"/>
  <c r="E72" i="20"/>
  <c r="E71" i="20"/>
  <c r="E70" i="20"/>
  <c r="E67" i="20"/>
  <c r="E66" i="20"/>
  <c r="E65" i="20"/>
  <c r="E62" i="20"/>
  <c r="E61" i="20"/>
  <c r="E60" i="20"/>
  <c r="E59" i="20"/>
  <c r="E58" i="20"/>
  <c r="E57" i="20"/>
  <c r="E56" i="20"/>
  <c r="E55" i="20"/>
  <c r="E54" i="20"/>
  <c r="E53" i="20"/>
  <c r="E52" i="20"/>
  <c r="E51" i="20"/>
  <c r="E50" i="20"/>
  <c r="E49" i="20"/>
  <c r="E47" i="20"/>
  <c r="E46" i="20"/>
  <c r="E45" i="20"/>
  <c r="E40" i="20"/>
  <c r="E39" i="20"/>
  <c r="E38" i="20"/>
  <c r="E37" i="20"/>
  <c r="E36" i="20"/>
  <c r="E35" i="20"/>
  <c r="E34" i="20"/>
  <c r="E30" i="20"/>
  <c r="E27" i="20"/>
  <c r="E24" i="20"/>
  <c r="E23" i="20"/>
  <c r="E22" i="20"/>
  <c r="E21" i="20"/>
  <c r="E20" i="20"/>
  <c r="E19" i="20"/>
  <c r="E18" i="20"/>
  <c r="E17" i="20"/>
  <c r="E16" i="20"/>
  <c r="E15" i="20"/>
  <c r="E14" i="20"/>
  <c r="E13" i="20"/>
  <c r="E12" i="20"/>
  <c r="E11" i="20"/>
  <c r="E10" i="20"/>
  <c r="E9" i="20"/>
  <c r="E8" i="20"/>
  <c r="B12" i="15"/>
  <c r="B22" i="15"/>
  <c r="H10" i="19" l="1"/>
  <c r="E68" i="20"/>
  <c r="E41" i="20"/>
  <c r="E42" i="20" s="1"/>
  <c r="E73" i="20"/>
  <c r="E74" i="20" l="1"/>
  <c r="E75" i="20" s="1"/>
  <c r="E10" i="6"/>
  <c r="E43" i="20"/>
  <c r="E76" i="20" l="1"/>
  <c r="E30" i="67" l="1"/>
  <c r="G30" i="67" s="1"/>
  <c r="G31" i="67" s="1"/>
  <c r="E45" i="67"/>
  <c r="G45" i="67" s="1"/>
  <c r="G46" i="67" s="1"/>
  <c r="H55" i="67"/>
  <c r="H56" i="67" s="1"/>
  <c r="G15" i="67"/>
  <c r="H50" i="67"/>
  <c r="H51" i="67" s="1"/>
  <c r="E65" i="67" s="1"/>
  <c r="E20" i="67"/>
  <c r="G20" i="67" s="1"/>
  <c r="G21" i="67" s="1"/>
  <c r="E40" i="67"/>
  <c r="G40" i="67" s="1"/>
  <c r="G41" i="67" s="1"/>
  <c r="E25" i="67"/>
  <c r="G25" i="67" s="1"/>
  <c r="G26" i="67" s="1"/>
  <c r="C11" i="15"/>
  <c r="C21" i="15"/>
  <c r="F31" i="15"/>
  <c r="G31" i="15" s="1"/>
  <c r="C19" i="15"/>
  <c r="D19" i="15" s="1"/>
  <c r="D9" i="15"/>
  <c r="G16" i="67" l="1"/>
  <c r="E61" i="67"/>
  <c r="E64" i="67"/>
  <c r="G64" i="67" s="1"/>
  <c r="E63" i="67"/>
  <c r="G63" i="67" s="1"/>
  <c r="E62" i="67"/>
  <c r="G62" i="67" s="1"/>
  <c r="E68" i="67"/>
  <c r="G68" i="67" s="1"/>
  <c r="G65" i="67"/>
  <c r="G61" i="67"/>
  <c r="E66" i="67"/>
  <c r="G66" i="67" s="1"/>
  <c r="E67" i="67"/>
  <c r="G67" i="67" s="1"/>
  <c r="E59" i="67"/>
  <c r="G59" i="67" s="1"/>
  <c r="E60" i="67"/>
  <c r="G60" i="67" s="1"/>
  <c r="E15" i="24"/>
  <c r="F16" i="24" s="1"/>
  <c r="D11" i="15"/>
  <c r="D13" i="15" s="1"/>
  <c r="B41" i="15" s="1"/>
  <c r="D41" i="15" s="1"/>
  <c r="D21" i="15"/>
  <c r="D23" i="15" s="1"/>
  <c r="B42" i="15" s="1"/>
  <c r="D42" i="15" s="1"/>
  <c r="F29" i="15"/>
  <c r="G29" i="15" s="1"/>
  <c r="G33" i="15" s="1"/>
  <c r="B43" i="15" s="1"/>
  <c r="D43" i="15" s="1"/>
  <c r="G69" i="67" l="1"/>
  <c r="G71" i="67" s="1"/>
  <c r="D44" i="15"/>
  <c r="D45" i="15" s="1"/>
</calcChain>
</file>

<file path=xl/comments1.xml><?xml version="1.0" encoding="utf-8"?>
<comments xmlns="http://schemas.openxmlformats.org/spreadsheetml/2006/main">
  <authors>
    <author>Autor</author>
  </authors>
  <commentList>
    <comment ref="I50" authorId="0" shapeId="0">
      <text>
        <r>
          <rPr>
            <sz val="9"/>
            <color indexed="81"/>
            <rFont val="Tahoma"/>
            <family val="2"/>
          </rPr>
          <t xml:space="preserve">ANATEL: Caso seja necessário alterar  as aliquotas na proposta de preços favor justificar
</t>
        </r>
      </text>
    </comment>
  </commentList>
</comments>
</file>

<file path=xl/comments10.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11.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12.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2.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3.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4.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5.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6.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comments7.xml><?xml version="1.0" encoding="utf-8"?>
<comments xmlns="http://schemas.openxmlformats.org/spreadsheetml/2006/main">
  <authors>
    <author>Autor</author>
  </authors>
  <commentList>
    <comment ref="I50" authorId="0" shapeId="0">
      <text>
        <r>
          <rPr>
            <sz val="9"/>
            <color indexed="81"/>
            <rFont val="Tahoma"/>
            <family val="2"/>
          </rPr>
          <t xml:space="preserve">ANATEL: Caso seja necessário alterar  as aliquotas na proposta de preços favor justificar
</t>
        </r>
      </text>
    </comment>
  </commentList>
</comments>
</file>

<file path=xl/comments8.xml><?xml version="1.0" encoding="utf-8"?>
<comments xmlns="http://schemas.openxmlformats.org/spreadsheetml/2006/main">
  <authors>
    <author>Autor</author>
  </authors>
  <commentList>
    <comment ref="I50" authorId="0" shapeId="0">
      <text>
        <r>
          <rPr>
            <sz val="9"/>
            <color indexed="81"/>
            <rFont val="Tahoma"/>
            <family val="2"/>
          </rPr>
          <t xml:space="preserve">ANATEL: Caso seja necessário alterar  as aliquotas na proposta de preços favor justificar
</t>
        </r>
      </text>
    </comment>
  </commentList>
</comments>
</file>

<file path=xl/comments9.xml><?xml version="1.0" encoding="utf-8"?>
<comments xmlns="http://schemas.openxmlformats.org/spreadsheetml/2006/main">
  <authors>
    <author>Autor</author>
  </authors>
  <commentList>
    <comment ref="A16" authorId="0" shapeId="0">
      <text>
        <r>
          <rPr>
            <sz val="10"/>
            <color rgb="FF000000"/>
            <rFont val="Arial"/>
            <family val="2"/>
            <charset val="1"/>
          </rPr>
          <t xml:space="preserve"> Nota 1: O módulo 1 refere-se ao valor devido ao empregado pela prestação do serviço no período de 12 meses (
Nota 2 Para empregado que labora a jornada 12x36, em caso da não concessão ou concessão parcial do intervalo intrajornada (parágrafo 4</t>
        </r>
        <r>
          <rPr>
            <vertAlign val="superscript"/>
            <sz val="10"/>
            <color rgb="FF000000"/>
            <rFont val="Arial"/>
            <family val="2"/>
            <charset val="1"/>
          </rPr>
          <t>o</t>
        </r>
        <r>
          <rPr>
            <sz val="10"/>
            <color rgb="FF000000"/>
            <rFont val="Arial"/>
            <family val="2"/>
            <charset val="1"/>
          </rPr>
          <t>. Do art. 71 da CLT), o valor a ser pago será inserido na regumenraçao utilizando a alínea G</t>
        </r>
      </text>
    </comment>
    <comment ref="K112" authorId="0" shapeId="0">
      <text>
        <r>
          <rPr>
            <b/>
            <sz val="9"/>
            <color rgb="FF000000"/>
            <rFont val="Arial"/>
            <family val="2"/>
            <charset val="1"/>
          </rPr>
          <t xml:space="preserve">Henrique Aoki:
</t>
        </r>
        <r>
          <rPr>
            <sz val="9"/>
            <color rgb="FF000000"/>
            <rFont val="Arial"/>
            <family val="2"/>
            <charset val="1"/>
          </rPr>
          <t xml:space="preserve">=Custo direto * Percentual atribuído a Custo indireto?despesa administrativa
</t>
        </r>
      </text>
    </comment>
    <comment ref="K113" authorId="0" shapeId="0">
      <text>
        <r>
          <rPr>
            <b/>
            <sz val="9"/>
            <color rgb="FF000000"/>
            <rFont val="Arial"/>
            <family val="2"/>
            <charset val="1"/>
          </rPr>
          <t xml:space="preserve">Henrique Aoki:
</t>
        </r>
        <r>
          <rPr>
            <sz val="9"/>
            <color rgb="FF000000"/>
            <rFont val="Arial"/>
            <family val="2"/>
            <charset val="1"/>
          </rPr>
          <t xml:space="preserve">= (Custo direto + Vr do custo indireto/despesa administrativa) * % atribuído a lucro
</t>
        </r>
      </text>
    </comment>
    <comment ref="K115" authorId="0" shapeId="0">
      <text>
        <r>
          <rPr>
            <b/>
            <sz val="9"/>
            <color rgb="FF000000"/>
            <rFont val="Arial"/>
            <family val="2"/>
            <charset val="1"/>
          </rPr>
          <t xml:space="preserve">Henrique Aoki:
</t>
        </r>
        <r>
          <rPr>
            <sz val="9"/>
            <color rgb="FF000000"/>
            <rFont val="Arial"/>
            <family val="2"/>
            <charset val="1"/>
          </rPr>
          <t xml:space="preserve">Valor dos tributos = Preço * % de tributos
</t>
        </r>
      </text>
    </comment>
    <comment ref="K116" authorId="0" shapeId="0">
      <text>
        <r>
          <rPr>
            <b/>
            <sz val="9"/>
            <color rgb="FF000000"/>
            <rFont val="Arial"/>
            <family val="2"/>
            <charset val="1"/>
          </rPr>
          <t xml:space="preserve">Henrique Aoki:
</t>
        </r>
        <r>
          <rPr>
            <sz val="9"/>
            <color rgb="FF000000"/>
            <rFont val="Arial"/>
            <family val="2"/>
            <charset val="1"/>
          </rPr>
          <t xml:space="preserve">= soma de custo indireto/despesa administrativa, lucros e tributos
</t>
        </r>
      </text>
    </comment>
    <comment ref="K118" authorId="0" shapeId="0">
      <text>
        <r>
          <rPr>
            <b/>
            <sz val="9"/>
            <color rgb="FF000000"/>
            <rFont val="Arial"/>
            <family val="2"/>
            <charset val="1"/>
          </rPr>
          <t xml:space="preserve">Henrique Aoki:
</t>
        </r>
        <r>
          <rPr>
            <sz val="9"/>
            <color rgb="FF000000"/>
            <rFont val="Arial"/>
            <family val="2"/>
            <charset val="1"/>
          </rPr>
          <t xml:space="preserve">= (Custo direto + custo indireto + Lucro) / (1-% T)
</t>
        </r>
      </text>
    </comment>
  </commentList>
</comments>
</file>

<file path=xl/sharedStrings.xml><?xml version="1.0" encoding="utf-8"?>
<sst xmlns="http://schemas.openxmlformats.org/spreadsheetml/2006/main" count="3583" uniqueCount="826">
  <si>
    <t>Nº PROCESSO</t>
  </si>
  <si>
    <t xml:space="preserve">LICITAÇÃO Nº </t>
  </si>
  <si>
    <t>Discriminação dos Serviços (dados referentes à contratação)</t>
  </si>
  <si>
    <t>A</t>
  </si>
  <si>
    <t>Data da Apresentação da Proposta (dia/mês/ano)</t>
  </si>
  <si>
    <t>B</t>
  </si>
  <si>
    <t>C</t>
  </si>
  <si>
    <t>Ano acordo, convenção ou Sentença Normativa em Dissídio Coletivo</t>
  </si>
  <si>
    <t>D</t>
  </si>
  <si>
    <t>Número de Meses de Execução do Contrato</t>
  </si>
  <si>
    <t>E</t>
  </si>
  <si>
    <t>Numero da convenção coletiva de trabalho</t>
  </si>
  <si>
    <t>F</t>
  </si>
  <si>
    <t xml:space="preserve">Regime Tributário da Empresa:      </t>
  </si>
  <si>
    <t>Identificação do Serviço</t>
  </si>
  <si>
    <t>Tipo de Serviço</t>
  </si>
  <si>
    <t>Unidade de Medida</t>
  </si>
  <si>
    <t>Quantidade total a contratar 
(em função da unidade de medida)</t>
  </si>
  <si>
    <t>Mão-de-Obra vinculada à execução contratual</t>
  </si>
  <si>
    <t>Dados complementares para composição dos custos referentes à mão-de-obra.</t>
  </si>
  <si>
    <t>Tipo de Serviço (mesmo serviço com características distintas).</t>
  </si>
  <si>
    <t>Data Base da Categoria (dia/mês/ano)</t>
  </si>
  <si>
    <t>MÓDULO 1: COMPOSIÇÃO DA REMUNERAÇÃO</t>
  </si>
  <si>
    <t>Composição da Remuneração</t>
  </si>
  <si>
    <t>Valor (R$)</t>
  </si>
  <si>
    <t>Salário Base</t>
  </si>
  <si>
    <t>G</t>
  </si>
  <si>
    <t>H</t>
  </si>
  <si>
    <t>Outros (especificar)</t>
  </si>
  <si>
    <t>Total da Remuneração</t>
  </si>
  <si>
    <t>MÓDULO 2: BENEFÍCIOS MENSAIS E DIÁRIOS</t>
  </si>
  <si>
    <t>Benefícios Mensais e Diários</t>
  </si>
  <si>
    <t>Transporte:</t>
  </si>
  <si>
    <t>Nº Vales</t>
  </si>
  <si>
    <t>Valor do Vale</t>
  </si>
  <si>
    <t>Nº dias úteis</t>
  </si>
  <si>
    <t>Desc. Empregado</t>
  </si>
  <si>
    <t xml:space="preserve"> = (Valor do Vale Transportes * Nº passagens dia * Nº dias úteis) - (Rem. * 6%)</t>
  </si>
  <si>
    <t xml:space="preserve"> = (Vlr Vale Transporte * Nº passagem dia * Nº dias úteis) - (Rem. * 6%)</t>
  </si>
  <si>
    <t>Auxílio Alimentação (Vales, cestas básicas, etc) :</t>
  </si>
  <si>
    <t>Total da Benefícios Mensais e Diários</t>
  </si>
  <si>
    <t>MÓDULO 3: INSUMOS DIVERSOS</t>
  </si>
  <si>
    <t>Insumos Diversos</t>
  </si>
  <si>
    <t>Materiais</t>
  </si>
  <si>
    <t>Equipamentos</t>
  </si>
  <si>
    <t>Total de Insumos Diversos</t>
  </si>
  <si>
    <t>MÓDULO 4: ENCARGOS SOCIAIS E TRABALHISTAS</t>
  </si>
  <si>
    <t>Submódulo 4.1 - Encargos Previdenciários e FGTS</t>
  </si>
  <si>
    <t>4.1</t>
  </si>
  <si>
    <t>Encargos Previdenciários e FGTS</t>
  </si>
  <si>
    <t>%</t>
  </si>
  <si>
    <t>Base Legal</t>
  </si>
  <si>
    <t>INSS</t>
  </si>
  <si>
    <t xml:space="preserve"> = Remuneração * 20,00%</t>
  </si>
  <si>
    <t>SESI  ou SESC</t>
  </si>
  <si>
    <t xml:space="preserve"> = Remuneração * 1,00%</t>
  </si>
  <si>
    <t>SENAI ou SENAC</t>
  </si>
  <si>
    <t xml:space="preserve"> = Remuneração * 1,50%</t>
  </si>
  <si>
    <t>INCRA</t>
  </si>
  <si>
    <t xml:space="preserve"> = Remuneração * 0,20%</t>
  </si>
  <si>
    <t>Salário Educação</t>
  </si>
  <si>
    <t xml:space="preserve"> = Remuneração * 2,50%</t>
  </si>
  <si>
    <t>FGTS</t>
  </si>
  <si>
    <t xml:space="preserve"> = Remuneração * 8,00%</t>
  </si>
  <si>
    <t>Decreto nº 3.048/99</t>
  </si>
  <si>
    <t>Seguro Acidente de Trabalho</t>
  </si>
  <si>
    <t>RAT</t>
  </si>
  <si>
    <t>FAP</t>
  </si>
  <si>
    <t xml:space="preserve"> = Remuneração * 20,0%</t>
  </si>
  <si>
    <t>Empresas optantes pelo Simples o FAP = 1,0000</t>
  </si>
  <si>
    <t>SEBRAE</t>
  </si>
  <si>
    <t xml:space="preserve"> = Remuneração * 0,60%</t>
  </si>
  <si>
    <t>I</t>
  </si>
  <si>
    <t>Outras Contribuições</t>
  </si>
  <si>
    <t xml:space="preserve"> = Remuneração * 0,00%</t>
  </si>
  <si>
    <t>Total</t>
  </si>
  <si>
    <t>Submódulo 4.2 - 13º Salário e Adicional de Férias</t>
  </si>
  <si>
    <t>4.2</t>
  </si>
  <si>
    <t>13º Salário e Adicional de Férias:</t>
  </si>
  <si>
    <t>13º Salário</t>
  </si>
  <si>
    <t xml:space="preserve"> =(Remuneração / 12 meses)</t>
  </si>
  <si>
    <t>Subtotal</t>
  </si>
  <si>
    <t>Incidência dos Encargos Módulo 4.1 sobre o 13º Salário</t>
  </si>
  <si>
    <t>(Subtotal * 8,00%)</t>
  </si>
  <si>
    <t xml:space="preserve"> =(Subtotal * 8,00%)</t>
  </si>
  <si>
    <t>Submódulo 4.3 - Afastamento Maternidade</t>
  </si>
  <si>
    <t>4.3</t>
  </si>
  <si>
    <t>Afastamento Maternidade:</t>
  </si>
  <si>
    <t>Afastamento Maternidade</t>
  </si>
  <si>
    <t xml:space="preserve"> =(((Rem + 1/3 Rem)/12) * (4/12)) * 2% * 100</t>
  </si>
  <si>
    <t>Incidência dos Encargos Módulo 4.1 sobre o Afastamento Maternidade</t>
  </si>
  <si>
    <t>Submódulo 4.4 - Provisão para Rescisão</t>
  </si>
  <si>
    <t>4.4</t>
  </si>
  <si>
    <t>Provisão para Rescisão</t>
  </si>
  <si>
    <t>Aviso Prévio Indenizado</t>
  </si>
  <si>
    <t xml:space="preserve"> =(((Rem/12) *(30/30)) * 5)/100 : para cada prorrogação acrescenta-se 3 dias ao API.</t>
  </si>
  <si>
    <t>Incidência do FGTS sobre o Aviso Prévio Indenizado</t>
  </si>
  <si>
    <t xml:space="preserve"> = (API * 8% FGTS)</t>
  </si>
  <si>
    <t>Aviso Prévio Trabalhado</t>
  </si>
  <si>
    <t xml:space="preserve"> = ((7 dias / 30 dias) / 12 meses)</t>
  </si>
  <si>
    <t xml:space="preserve"> = (((Rem / 30 dias) * 7 dias) / 12 meses)</t>
  </si>
  <si>
    <t>Incidência dos Encargos Módulo 4.1 sobre o Aviso Prévio Trabalhado</t>
  </si>
  <si>
    <t>Multa sobre o FGTS e Contribuição Social sobre o Aviso Prévio Indenizado e sobre o Aviso Prévio Trabalhado</t>
  </si>
  <si>
    <t xml:space="preserve"> = ((API +APT) * 5%)</t>
  </si>
  <si>
    <t xml:space="preserve"> = (Remuneração * 5%)</t>
  </si>
  <si>
    <t>Submódulo 4.5 - Custo de Reposição do Profissional Ausente</t>
  </si>
  <si>
    <t>4.5</t>
  </si>
  <si>
    <t>Custo de Reposição do Profissional Ausente</t>
  </si>
  <si>
    <t>Férias e Terço Constitucional de Férias</t>
  </si>
  <si>
    <t xml:space="preserve"> = (Rem * 12,10%)</t>
  </si>
  <si>
    <t>Ausência por Doença</t>
  </si>
  <si>
    <t xml:space="preserve"> = ((Rem / 30 dias) * 5 dias de ausência por ano) / 12 meses</t>
  </si>
  <si>
    <t>Licença Paternidade</t>
  </si>
  <si>
    <t xml:space="preserve"> = (((Rem / 30 dias) * 5 dias de ausência por ano) / 12 meses) * 1,5% dos empregados</t>
  </si>
  <si>
    <t>Ausências Legais</t>
  </si>
  <si>
    <t xml:space="preserve"> = (((Rem / 30 dias) * 2,96 dias de ausência por ano) / 12 meses). Obs.: Recomenda-se 2,96 dias</t>
  </si>
  <si>
    <t>Ausência por Acidente de Trabalho</t>
  </si>
  <si>
    <t xml:space="preserve"> = (((Rem / 30 dias) * 15 dias de ausência por ano) / 12 meses) * 0,78% dos empregados</t>
  </si>
  <si>
    <t>Incidência dos Encargos Módulo 4.1 sobre o Custo de Reposição do Profissional Ausente</t>
  </si>
  <si>
    <t>Quadro-Resumo - Módulo 4: Encargos Sociais e Trabalhistas</t>
  </si>
  <si>
    <t>Encargos Sociais e Trabalhistas</t>
  </si>
  <si>
    <t>13º Salário e Adicional de Férias</t>
  </si>
  <si>
    <t>MÓDULO 5: CUSTOS INDIRETOS, TRIBUTOS E LUCRO</t>
  </si>
  <si>
    <t>Custos Indiretos, Tributos e Lucro</t>
  </si>
  <si>
    <t>Base Cálculo de Custos Indiretos</t>
  </si>
  <si>
    <t>Custos Indiretos</t>
  </si>
  <si>
    <t>Tributos</t>
  </si>
  <si>
    <t>Base Cálculo de Tributos</t>
  </si>
  <si>
    <t>Total dos Tributos</t>
  </si>
  <si>
    <t>Base Cálculo dos Lucros</t>
  </si>
  <si>
    <t>Lucro</t>
  </si>
  <si>
    <t>QUADRO RESUMO DO CUSTO POR EMPREGADO</t>
  </si>
  <si>
    <t>Mão-de-Obra vinculada à execução contratual 
(valor por empregado)</t>
  </si>
  <si>
    <t>Subtotal (A + B + C + D)</t>
  </si>
  <si>
    <t>Valor Total por Empregado</t>
  </si>
  <si>
    <t>Valor Unitário</t>
  </si>
  <si>
    <t>Valor Mensal</t>
  </si>
  <si>
    <t>TOTAL</t>
  </si>
  <si>
    <t>Inicial</t>
  </si>
  <si>
    <t>Uniformes (valor em parte não renovável)</t>
  </si>
  <si>
    <t xml:space="preserve"> =(((Rem/12) * 5)/100 : para cada prorrogação acrescenta-se 3 dias ao API.</t>
  </si>
  <si>
    <t>Limpeza</t>
  </si>
  <si>
    <t>m²</t>
  </si>
  <si>
    <t>Descrição</t>
  </si>
  <si>
    <r>
      <rPr>
        <b/>
        <sz val="8"/>
        <color theme="1"/>
        <rFont val="Calibri"/>
        <family val="2"/>
        <scheme val="minor"/>
      </rPr>
      <t>CNAE:</t>
    </r>
    <r>
      <rPr>
        <sz val="8"/>
        <color theme="1"/>
        <rFont val="Calibri"/>
        <family val="2"/>
        <scheme val="minor"/>
      </rPr>
      <t xml:space="preserve"> 8121-4/00 : Limpeza em prédios e em domicílios --&gt; 3,00%</t>
    </r>
  </si>
  <si>
    <r>
      <rPr>
        <b/>
        <sz val="8"/>
        <color theme="1"/>
        <rFont val="Calibri"/>
        <family val="2"/>
        <scheme val="minor"/>
      </rPr>
      <t>Fundo de Previdência e Assistência Social (FPAS):</t>
    </r>
    <r>
      <rPr>
        <sz val="8"/>
        <color theme="1"/>
        <rFont val="Calibri"/>
        <family val="2"/>
        <scheme val="minor"/>
      </rPr>
      <t xml:space="preserve"> 515</t>
    </r>
  </si>
  <si>
    <r>
      <t> </t>
    </r>
    <r>
      <rPr>
        <b/>
        <sz val="12"/>
        <color theme="1"/>
        <rFont val="Calibri"/>
        <family val="2"/>
        <scheme val="minor"/>
      </rPr>
      <t>I - PREÇO MENSAL UNITÁRIO POR M²</t>
    </r>
  </si>
  <si>
    <r>
      <t>ÁREA INTERNA</t>
    </r>
    <r>
      <rPr>
        <sz val="8"/>
        <color theme="1"/>
        <rFont val="Calibri"/>
        <family val="2"/>
        <scheme val="minor"/>
      </rPr>
      <t xml:space="preserve"> – (Fórmulas exemplificativas de cálculo para área interna, alíneas “a” e “b” do artigo 44, para as demais alíneas deverão ser incluídos novos campos na planilha com a metragem adequada.)</t>
    </r>
  </si>
  <si>
    <t>(1)</t>
  </si>
  <si>
    <t>(2)</t>
  </si>
  <si>
    <t>(1x2)</t>
  </si>
  <si>
    <t>MÃO DE OBRA</t>
  </si>
  <si>
    <t>PRODUTIVIDADE</t>
  </si>
  <si>
    <t>PREÇO HOMEM-MÊS</t>
  </si>
  <si>
    <t>SUBTOTAL</t>
  </si>
  <si>
    <t>(1/M²)</t>
  </si>
  <si>
    <t>(R$)</t>
  </si>
  <si>
    <t>(R$/M²)</t>
  </si>
  <si>
    <t>ENCARREGADO</t>
  </si>
  <si>
    <r>
      <t>_____</t>
    </r>
    <r>
      <rPr>
        <u/>
        <sz val="11"/>
        <color theme="1"/>
        <rFont val="Calibri"/>
        <family val="2"/>
        <scheme val="minor"/>
      </rPr>
      <t>1</t>
    </r>
    <r>
      <rPr>
        <sz val="11"/>
        <color theme="1"/>
        <rFont val="Calibri"/>
        <family val="2"/>
        <scheme val="minor"/>
      </rPr>
      <t>______</t>
    </r>
  </si>
  <si>
    <t>SERVENTE</t>
  </si>
  <si>
    <r>
      <t>__</t>
    </r>
    <r>
      <rPr>
        <u/>
        <sz val="11"/>
        <color theme="1"/>
        <rFont val="Calibri"/>
        <family val="2"/>
        <scheme val="minor"/>
      </rPr>
      <t>1</t>
    </r>
    <r>
      <rPr>
        <sz val="11"/>
        <color theme="1"/>
        <rFont val="Calibri"/>
        <family val="2"/>
        <scheme val="minor"/>
      </rPr>
      <t>__</t>
    </r>
  </si>
  <si>
    <r>
      <t>ÁREA EXTERNA</t>
    </r>
    <r>
      <rPr>
        <sz val="8"/>
        <color theme="1"/>
        <rFont val="Calibri"/>
        <family val="2"/>
        <scheme val="minor"/>
      </rPr>
      <t xml:space="preserve"> - (Fórmulas exemplificativas de cálculo para área externa, alíneas “a”, “c”, “d” e “e” do artigo 44, para as demais alíneas deverão ser incluídos novos campos na planilha com a metragem adequada.)</t>
    </r>
  </si>
  <si>
    <r>
      <t>______</t>
    </r>
    <r>
      <rPr>
        <u/>
        <sz val="11"/>
        <color theme="1"/>
        <rFont val="Calibri"/>
        <family val="2"/>
        <scheme val="minor"/>
      </rPr>
      <t>1</t>
    </r>
    <r>
      <rPr>
        <sz val="11"/>
        <color theme="1"/>
        <rFont val="Calibri"/>
        <family val="2"/>
        <scheme val="minor"/>
      </rPr>
      <t>_______</t>
    </r>
  </si>
  <si>
    <r>
      <t>ESQUADRIA EXTERNA</t>
    </r>
    <r>
      <rPr>
        <sz val="8"/>
        <color theme="1"/>
        <rFont val="Calibri"/>
        <family val="2"/>
        <scheme val="minor"/>
      </rPr>
      <t xml:space="preserve"> (Fórmulas exemplificativas de cálculo para área externa, alíneas “b” e “c” do artigo 44, para as demais alíneas deverão ser incluídos novos campos na planilha com a metragem adequada.)</t>
    </r>
  </si>
  <si>
    <t>(3)</t>
  </si>
  <si>
    <t>(4)</t>
  </si>
  <si>
    <t>(5)</t>
  </si>
  <si>
    <t>(4x5)</t>
  </si>
  <si>
    <t>FREQUÊNCIA NO MÊS (HORAS)</t>
  </si>
  <si>
    <t>JORNADA DE TRABALHO NO MÊS (HORAS)</t>
  </si>
  <si>
    <t>=(1x2x3)</t>
  </si>
  <si>
    <t xml:space="preserve">PREÇO HOMEM-MÊS </t>
  </si>
  <si>
    <t>SUB-TOTAL</t>
  </si>
  <si>
    <t>Ki****</t>
  </si>
  <si>
    <r>
      <t>___</t>
    </r>
    <r>
      <rPr>
        <u/>
        <sz val="11"/>
        <color theme="1"/>
        <rFont val="Calibri"/>
        <family val="2"/>
        <scheme val="minor"/>
      </rPr>
      <t>1</t>
    </r>
    <r>
      <rPr>
        <sz val="11"/>
        <color theme="1"/>
        <rFont val="Calibri"/>
        <family val="2"/>
        <scheme val="minor"/>
      </rPr>
      <t>__</t>
    </r>
  </si>
  <si>
    <t>16***</t>
  </si>
  <si>
    <t>* Caso as produtividades mínimas adotadas sejam diferentes, estes valores das planilhas deverão ser adequados à nova situação, bem como os coeficientes deles decorrentes (Ki e Ke).</t>
  </si>
  <si>
    <t>** Caso a relação entre serventes e encarregados seja diferente, estes valores das planilhas deverão ser adequados à nova situação, bem como os coeficientes deles decorrentes (Ki e Ke).</t>
  </si>
  <si>
    <t>*** Freqüência sugerida em horas por mês. Caso a freqüência adotada, em horas, por mês ou semestre, seja diferente, estes valores deverão ser adequados à nova situação, bem como os coeficientes delas decorrentes (Ki e Ke).</t>
  </si>
  <si>
    <t>II - VALOR MENSAL DOS SERVIÇOS</t>
  </si>
  <si>
    <t>TIPO DE ÁREA</t>
  </si>
  <si>
    <t>PREÇO MENSAL UNITÁRIO</t>
  </si>
  <si>
    <t>ÁREA</t>
  </si>
  <si>
    <t>(R$/ M²)</t>
  </si>
  <si>
    <t>(M²)</t>
  </si>
  <si>
    <t>I - Área Interna</t>
  </si>
  <si>
    <t>II - Área Externa</t>
  </si>
  <si>
    <t>III - Esquadria Externa</t>
  </si>
  <si>
    <t>ÁREA (m²)</t>
  </si>
  <si>
    <t>PESSOAL</t>
  </si>
  <si>
    <t>PRODUTIVIDADE*</t>
  </si>
  <si>
    <t>(30** x 1200)</t>
  </si>
  <si>
    <t>(30** x600)</t>
  </si>
  <si>
    <t>Produtividades conforme Portaria Nº 3, de 23 de Janeiro de 2012.</t>
  </si>
  <si>
    <t>Área Interna</t>
  </si>
  <si>
    <t>Área Externa</t>
  </si>
  <si>
    <t xml:space="preserve"> = (Afast. Matern. * 36,80%)</t>
  </si>
  <si>
    <t xml:space="preserve"> = (APT * 36,80%)</t>
  </si>
  <si>
    <t xml:space="preserve"> = (Subtotal * 36,80%)</t>
  </si>
  <si>
    <t>Esquadria Externa</t>
  </si>
  <si>
    <t xml:space="preserve"> = (Valor Vale Alimentação * Nº dias úteis)   </t>
  </si>
  <si>
    <t>= (Valor do seguro * taxa do seguro)</t>
  </si>
  <si>
    <t>MATERIAIS PARA LIMPEZA E CONSERVAÇÃO</t>
  </si>
  <si>
    <t>Unidade de fornecimento</t>
  </si>
  <si>
    <t>Quantitativo estimado mensal</t>
  </si>
  <si>
    <t>Água sanitária</t>
  </si>
  <si>
    <t>5 litros</t>
  </si>
  <si>
    <t>Álcool 96° líquido</t>
  </si>
  <si>
    <t xml:space="preserve">Álcool gel para higienização de mãos </t>
  </si>
  <si>
    <t>Aromatizante/Purificador de ar tipo Bom Ar líquido-aerossol</t>
  </si>
  <si>
    <t>frasco</t>
  </si>
  <si>
    <t>Cera líquida incolor</t>
  </si>
  <si>
    <t>unidade</t>
  </si>
  <si>
    <t>Desifentante sanitário líquido</t>
  </si>
  <si>
    <t>Detergente para lavagem de louças</t>
  </si>
  <si>
    <t>500ml</t>
  </si>
  <si>
    <t>Esponja dupla face</t>
  </si>
  <si>
    <t xml:space="preserve">Flanela de algodão </t>
  </si>
  <si>
    <t xml:space="preserve">Fibra verde </t>
  </si>
  <si>
    <t>Lã de aço</t>
  </si>
  <si>
    <t>pacote</t>
  </si>
  <si>
    <t>Limpa carpete</t>
  </si>
  <si>
    <t>Limpador instantâneo líquido (multiuso)</t>
  </si>
  <si>
    <t>Limpa vidros</t>
  </si>
  <si>
    <t>Lustra móveis</t>
  </si>
  <si>
    <t>200ml</t>
  </si>
  <si>
    <t>Luvas látex silver</t>
  </si>
  <si>
    <t>Materiais para conservação de área verde especificada</t>
  </si>
  <si>
    <t>área de 29,20m²</t>
  </si>
  <si>
    <r>
      <t xml:space="preserve">Multi inseticida </t>
    </r>
    <r>
      <rPr>
        <i/>
        <sz val="10"/>
        <rFont val="Times New Roman"/>
        <family val="1"/>
      </rPr>
      <t>spray</t>
    </r>
    <r>
      <rPr>
        <sz val="10"/>
        <rFont val="Times New Roman"/>
        <family val="1"/>
      </rPr>
      <t xml:space="preserve"> para ambientes internos</t>
    </r>
  </si>
  <si>
    <t>quando necessário</t>
  </si>
  <si>
    <t>Pano para limpeza (pano de saco)</t>
  </si>
  <si>
    <t>Papel Higiênico, folha dupla, branco</t>
  </si>
  <si>
    <t>Fardo (64)</t>
  </si>
  <si>
    <t>Papel toalha, 2 dobras, branco (para dispenser)</t>
  </si>
  <si>
    <t>Fardo (1000)</t>
  </si>
  <si>
    <t>Removedor de cera</t>
  </si>
  <si>
    <t>Repelente</t>
  </si>
  <si>
    <t>Sabonete líquido  perolado para higiene de mãos</t>
  </si>
  <si>
    <t>Sabonete cremoso para higiene de mãos (para dispenser)</t>
  </si>
  <si>
    <t>caixa</t>
  </si>
  <si>
    <t>Saco lixo preto, 40 litros</t>
  </si>
  <si>
    <t>fardo (100)</t>
  </si>
  <si>
    <t>Saco lixo verde, 40 litros</t>
  </si>
  <si>
    <t>Saco lixo preto, 100 litros</t>
  </si>
  <si>
    <t>Saco lixo verde, 100 litros</t>
  </si>
  <si>
    <t>Saponáceo cremoso</t>
  </si>
  <si>
    <t>Vaselina</t>
  </si>
  <si>
    <t>TOTAL CUSTO MATERIAL</t>
  </si>
  <si>
    <t>TOTAL CUSTOS MATERIAL MENSAL POR SERVENTE</t>
  </si>
  <si>
    <t>TOTAL CUSTOS MATERIAL PARA VINTE MESES POR SERVENTE</t>
  </si>
  <si>
    <t>UTENSÍLIOS</t>
  </si>
  <si>
    <t>Vida útil estimada</t>
  </si>
  <si>
    <t>Á disposição da Contratada</t>
  </si>
  <si>
    <t>Balde 10 litros</t>
  </si>
  <si>
    <t>Balde 15 litros</t>
  </si>
  <si>
    <t>Balde específico para bruxa (14 litros)</t>
  </si>
  <si>
    <t>Borrifador para álcool</t>
  </si>
  <si>
    <t>4 (inicial)</t>
  </si>
  <si>
    <t>Bruxa (esfregão)</t>
  </si>
  <si>
    <t>Carrinho funcional limpeza</t>
  </si>
  <si>
    <t>Desentupidor vaso sanitário</t>
  </si>
  <si>
    <t>Escada de 6 degraus</t>
  </si>
  <si>
    <t>Escova de mão</t>
  </si>
  <si>
    <t>Escova vaso sanitário</t>
  </si>
  <si>
    <t>Kit limpeza vidros</t>
  </si>
  <si>
    <t>Mangueira  (30 m)</t>
  </si>
  <si>
    <t>Pá de lixo</t>
  </si>
  <si>
    <r>
      <t xml:space="preserve">Placa de identificação </t>
    </r>
    <r>
      <rPr>
        <i/>
        <sz val="10"/>
        <rFont val="Times New Roman"/>
        <family val="1"/>
      </rPr>
      <t>“cuidado piso molhado”</t>
    </r>
  </si>
  <si>
    <t>Porta sabonete líquido manual</t>
  </si>
  <si>
    <t>Regador</t>
  </si>
  <si>
    <t>Rodo</t>
  </si>
  <si>
    <t>Suporte (dispenser) para papel toalha</t>
  </si>
  <si>
    <t>Suporte (dispenser) para sabonte líquido</t>
  </si>
  <si>
    <t>15 (inicial)</t>
  </si>
  <si>
    <t>Utensílios para manutenção de área verde especificada (mão de obra)</t>
  </si>
  <si>
    <t>Não se aplica</t>
  </si>
  <si>
    <t>Vassoura de nylon</t>
  </si>
  <si>
    <t>Vassoura de pelo fino</t>
  </si>
  <si>
    <t>Vassoura limpa teto</t>
  </si>
  <si>
    <t>TOTAL CUSTO UTENSÍLIOS</t>
  </si>
  <si>
    <t>EQUIPAMENTOS</t>
  </si>
  <si>
    <t>Aspirador de pó profissional 1300W (110V)</t>
  </si>
  <si>
    <t>Extensão tripolar (20 m)</t>
  </si>
  <si>
    <t>Lava-jato com pressão de 1500PSI</t>
  </si>
  <si>
    <t>TOTAL CUSTO EQUIPAMENTOS</t>
  </si>
  <si>
    <t>TOTAL CUSTOS UTENSILIOS E EQUIPAMENTOS MENSAL POR SERVENTE</t>
  </si>
  <si>
    <t>TOTAL CUSTOS UTENSÍLIOS E EQUIPAMENTOS PARA VINTE MESES POR SERVENTE</t>
  </si>
  <si>
    <t xml:space="preserve">TOTAL CUSTOS GERAL PARA VINTE MESES </t>
  </si>
  <si>
    <t>FATOR DE CONVERSÃO</t>
  </si>
  <si>
    <t xml:space="preserve">Salário Normativo da Categoria Profissional </t>
  </si>
  <si>
    <t>30**x220</t>
  </si>
  <si>
    <t xml:space="preserve">Veneno para extermínio de pragas/formigas/insetos/ratos </t>
  </si>
  <si>
    <t>(Guia Uniforme)</t>
  </si>
  <si>
    <t>Detergente concentrado para pisos</t>
  </si>
  <si>
    <t>Planilha meramente orientativa, sem vinculação com as anteriores</t>
  </si>
  <si>
    <t>RESERVA MENSAL PARA O PAGAMENTO DE ENCARGOS TRABALHISTAS - PERCENTUAIS INCIDENTES SOBRE A REMUNERAÇÃO</t>
  </si>
  <si>
    <t>ITEM</t>
  </si>
  <si>
    <t>PERCENTUAL</t>
  </si>
  <si>
    <t>13º (décimo terceiro) salário</t>
  </si>
  <si>
    <t>-</t>
  </si>
  <si>
    <t>8,33% (oito vírgula trinta e três por cento)</t>
  </si>
  <si>
    <t>Férias e 1/3 Constitucional</t>
  </si>
  <si>
    <t>12,10% (doze vírgula dez por cento)</t>
  </si>
  <si>
    <t>Multa sobre FGTS e contribuição social sobre o aviso prévio indenizado e sobre o aviso prévio trabalhado</t>
  </si>
  <si>
    <t>5% (cinco por cento)</t>
  </si>
  <si>
    <t>25,43% (vinte e cinco vírgula quarenta e três por cento)</t>
  </si>
  <si>
    <t>Incidência do Submódulo 4.1 sobre férias, 1/3 (um terço constitucional de férias) e 13º (décimo terceiro) salário*</t>
  </si>
  <si>
    <t>7,39% (sete vírgula trinta e nove por cento)</t>
  </si>
  <si>
    <t>7,60% (sete virgula seis por cento)</t>
  </si>
  <si>
    <t>7,82 (sete vírgula oitenta e dois por cento)</t>
  </si>
  <si>
    <t>32,82% (trinta e dois vírgula oitenta e dois por cento)</t>
  </si>
  <si>
    <t>33,03% (trinta e três vírgula zero três por cento)</t>
  </si>
  <si>
    <t>33,25% (trinta e três vírgula vinte e cinco por cento)</t>
  </si>
  <si>
    <t>* Considerando as alíquotas de contribuição de 1% (um por cento), 2% (dois por cento) ou 3% (três por cento) referentes ao grau de risco de acidente do trabalho, previstas no art. 22, inciso II, da Lei nº 8.212, de 24 de julho de 1991.</t>
  </si>
  <si>
    <t>Categoria Profissional (vinculada à execução contratual) - CBO 5143</t>
  </si>
  <si>
    <t>Valor unitário</t>
  </si>
  <si>
    <t>GUIA ORIENTATIVA DE INSUMOS</t>
  </si>
  <si>
    <t>Valor total estimado mensal</t>
  </si>
  <si>
    <t>ANEXO III - MODELO DE PLANILHA DE CUSTOS</t>
  </si>
  <si>
    <t xml:space="preserve"> GUIA ORIENTATIVA DE CUSTOS DOS UNIFORMES</t>
  </si>
  <si>
    <t>GUIA ORIENTATIVA DE PESSOAL</t>
  </si>
  <si>
    <t>GUIA ORIENTATIVA DE CONSOLIDAÇÃO DE VALORES</t>
  </si>
  <si>
    <t>GUIA  ORIENTATIVA DE CUSTOS E FORMAÇÃO DE PREÇOS - MÃO DE OBRA DE LIMPEZA</t>
  </si>
  <si>
    <t>&lt;&lt;&lt; escolher regime de tributação p/ fins de recolhimento de encargos trabalhistas</t>
  </si>
  <si>
    <t>Assistência Médica e Familiar / outros</t>
  </si>
  <si>
    <t>Seguro contra riscos de acidente do trabalho / Outros</t>
  </si>
  <si>
    <t>(Guia Insumos)</t>
  </si>
  <si>
    <t>Valor Global da proposta - 20 meses</t>
  </si>
  <si>
    <t>Valores Mínimos e Máximos 2018</t>
  </si>
  <si>
    <t xml:space="preserve">Ponto </t>
  </si>
  <si>
    <t xml:space="preserve">ANEXO III - PLANILHA DE CUSTOS </t>
  </si>
  <si>
    <t xml:space="preserve">Adicional de Insalubridade </t>
  </si>
  <si>
    <t>Gratificação de Função</t>
  </si>
  <si>
    <t xml:space="preserve"> = (Valor Vale Alimentação * Nº dias úteis)  </t>
  </si>
  <si>
    <t>MODELO DE PLANILHA DE CUSTOS</t>
  </si>
  <si>
    <t>Unidade</t>
  </si>
  <si>
    <t>Kg</t>
  </si>
  <si>
    <t>Sabão em barra</t>
  </si>
  <si>
    <t>Sabão em pó</t>
  </si>
  <si>
    <t>Rolo</t>
  </si>
  <si>
    <t>PROPOSTA DE PREÇOS</t>
  </si>
  <si>
    <t>OBJETO</t>
  </si>
  <si>
    <t>PREÇO DO SERVIÇO:</t>
  </si>
  <si>
    <t>Localidade (A)</t>
  </si>
  <si>
    <t>Valor proposto por empregado (B)</t>
  </si>
  <si>
    <t>Valor Mensal
(D) = (BxC)</t>
  </si>
  <si>
    <t>Valor Anual
(E) = (Dx12)</t>
  </si>
  <si>
    <t>Valor Mensal Total dos Serviços</t>
  </si>
  <si>
    <t>Valor Anual dos Serviços</t>
  </si>
  <si>
    <t>Quantidade de  postos
(C)</t>
  </si>
  <si>
    <t>Total de Funcionários</t>
  </si>
  <si>
    <t>SINDICATO DOS EMPREGADOS DE EMPRESAS DE ASSEIO E CONSERVACAO DO ESTADO DE MATO GROSSO DO SUL</t>
  </si>
  <si>
    <t>Localidade/Município/UF</t>
  </si>
  <si>
    <r>
      <t>Observação 1:</t>
    </r>
    <r>
      <rPr>
        <sz val="14"/>
        <color theme="1"/>
        <rFont val="Calibri"/>
        <family val="2"/>
        <scheme val="minor"/>
      </rPr>
      <t xml:space="preserve"> O valor informado deverá ser o custo real do insumo (descontado o valor eventualmente pago pelo empregado).</t>
    </r>
  </si>
  <si>
    <r>
      <t xml:space="preserve">Observação 2: </t>
    </r>
    <r>
      <rPr>
        <sz val="14"/>
        <color theme="1"/>
        <rFont val="Calibri"/>
        <family val="2"/>
        <scheme val="minor"/>
      </rPr>
      <t>Valores mensais por empregado.</t>
    </r>
  </si>
  <si>
    <r>
      <t xml:space="preserve">     B.1 Tributos federais (PIS)  </t>
    </r>
    <r>
      <rPr>
        <sz val="14"/>
        <color rgb="FFFF0000"/>
        <rFont val="Calibri"/>
        <family val="2"/>
        <scheme val="minor"/>
      </rPr>
      <t>- cotar alíquota conforme regime tributário</t>
    </r>
  </si>
  <si>
    <r>
      <t xml:space="preserve">     B.2 Tributos Federais (COFINS) </t>
    </r>
    <r>
      <rPr>
        <sz val="14"/>
        <color rgb="FFFF0000"/>
        <rFont val="Calibri"/>
        <family val="2"/>
        <scheme val="minor"/>
      </rPr>
      <t>- cotar alíquota conforme regime tributário</t>
    </r>
  </si>
  <si>
    <r>
      <t xml:space="preserve">     B.3 Tributos Municipais (ISS) </t>
    </r>
    <r>
      <rPr>
        <sz val="14"/>
        <color rgb="FFFF0000"/>
        <rFont val="Calibri"/>
        <family val="2"/>
        <scheme val="minor"/>
      </rPr>
      <t>- cotar alíquota conforme regime tributário</t>
    </r>
  </si>
  <si>
    <t>CNPJ: 07.578.036/0001-04</t>
  </si>
  <si>
    <t>Enderaço: Rua Topázio n. 790, Bairro Bosque da Saude-MT</t>
  </si>
  <si>
    <t>Email: ronaildo25@hotmail.com</t>
  </si>
  <si>
    <t>SIMPLES</t>
  </si>
  <si>
    <t>RONAILDO ATAIDE PASSOS-ME</t>
  </si>
  <si>
    <t>RONAILDO ATAIDE PASSOS</t>
  </si>
  <si>
    <t>Proprietário</t>
  </si>
  <si>
    <t>Item</t>
  </si>
  <si>
    <t>IDENTIFICAÇÃO DO PROPONENTE: RONAILDO ATAIDE PASSOS - ME</t>
  </si>
  <si>
    <t>Camiseta de malha curta em tecido
100% algodão</t>
  </si>
  <si>
    <t>Calça comprida em tecido resistente
100% algodão</t>
  </si>
  <si>
    <t>Par de meias de algodão</t>
  </si>
  <si>
    <t>Par de botas em vaqueta na cor preta
(EPI)</t>
  </si>
  <si>
    <t>Crachá de identificação individual</t>
  </si>
  <si>
    <t>UNIFORME SERVENTE DE LIMPEZA</t>
  </si>
  <si>
    <t>Aromatizante de ambientes em
"spray" livre de CFC</t>
  </si>
  <si>
    <t>Cera líquida “resgate”</t>
  </si>
  <si>
    <t>Desinfetante líquido p/ sanitário</t>
  </si>
  <si>
    <t>Detergente líquido concentrado</t>
  </si>
  <si>
    <t>Esponja</t>
  </si>
  <si>
    <t>Flanela</t>
  </si>
  <si>
    <t>Limpa-vidros (para limpeza
interna)</t>
  </si>
  <si>
    <t>Limpa-vidros (para limpeza
externa)</t>
  </si>
  <si>
    <t>Lustra-móveis</t>
  </si>
  <si>
    <t>Luva mucambo</t>
  </si>
  <si>
    <t>Pano chão</t>
  </si>
  <si>
    <t>Papel higiênico folha dupla</t>
  </si>
  <si>
    <t>Papel toalha</t>
  </si>
  <si>
    <t>Pastilha sanitária adesiva
(desodorizador)</t>
  </si>
  <si>
    <t>Saponáceo em pó - Sapólio</t>
  </si>
  <si>
    <t>Sabonete concentrado - galão
5l</t>
  </si>
  <si>
    <t>Saco para lixo de 200 litros</t>
  </si>
  <si>
    <t>Saco para lixo de 100 litros</t>
  </si>
  <si>
    <t>Saco para lixo de 60 litros</t>
  </si>
  <si>
    <t>Saco para lixo de 40 litros</t>
  </si>
  <si>
    <t>Saco para lixo de 20 litros</t>
  </si>
  <si>
    <t>Multiuso limpeza pesada</t>
  </si>
  <si>
    <t>Galão c/ 5
litros</t>
  </si>
  <si>
    <t>Lata c/
400ml</t>
  </si>
  <si>
    <t>Pacote c/ 5
unidades</t>
  </si>
  <si>
    <t>Frasco c/
500ml</t>
  </si>
  <si>
    <t>Galão c/ 5l</t>
  </si>
  <si>
    <t>Frasco c/
200ml</t>
  </si>
  <si>
    <t>Pacote com
um par</t>
  </si>
  <si>
    <t>Pacote c/
1.000 folhas</t>
  </si>
  <si>
    <t>Caixa com 3</t>
  </si>
  <si>
    <t>acote / 25
unidades</t>
  </si>
  <si>
    <t>Frasco
500ml</t>
  </si>
  <si>
    <t>RELAÇÃO ESTIMADA PARA PRESTAÇÃO DO SERVIÇOS</t>
  </si>
  <si>
    <t>TOTAL MENSAL</t>
  </si>
  <si>
    <t>VALOR POR FUNCIONÁRIO 34</t>
  </si>
  <si>
    <t>Galão c/ 300 ml</t>
  </si>
  <si>
    <t>LISTA DE EQUIPAMENTOS</t>
  </si>
  <si>
    <t>Aspirador de pó profissional, para pó e líquido</t>
  </si>
  <si>
    <t>Baldes de 20 (vinte) litros;</t>
  </si>
  <si>
    <t>Carrinho de mão</t>
  </si>
  <si>
    <t>Desentupidor de vaso</t>
  </si>
  <si>
    <t>Enceradeira industrial e respectivos acessórios</t>
  </si>
  <si>
    <t>Enxada</t>
  </si>
  <si>
    <t>Escada em alumínio, reforçada, tipo cavalete ou
telescópica com 7x2 degraus</t>
  </si>
  <si>
    <t>Escova de mão.</t>
  </si>
  <si>
    <t>Escova para vaso sanitário</t>
  </si>
  <si>
    <t>Extensão elétrica reforçada, composta de cabo PP 2/1
de 2,50mm, plugs reforçados, com 20 metros de
comprimento</t>
  </si>
  <si>
    <t>Facão 40 cm ou superior</t>
  </si>
  <si>
    <t>Luva de raspa</t>
  </si>
  <si>
    <t>Bota de borracha</t>
  </si>
  <si>
    <t>mangueira de jardim, plástica, com 30 (trinta) metros,
com esguicho e acessórios - 1/2 polegada</t>
  </si>
  <si>
    <t>máquina hidro compressora (jato de água de alta
pressão), 110/220v</t>
  </si>
  <si>
    <t>Pá para lixo galvanizada</t>
  </si>
  <si>
    <t>Placas de sinalização de piso molhado/escorregadio</t>
  </si>
  <si>
    <t>Rastelo ou garfo de jardim</t>
  </si>
  <si>
    <t>Roçadeira costal ou cortador de grama</t>
  </si>
  <si>
    <t>Rodo duplo 40 cm</t>
  </si>
  <si>
    <t>Rodo duplo 60 cm</t>
  </si>
  <si>
    <t>Vassoura de náilon</t>
  </si>
  <si>
    <t>Vassoura de pelo tamanho pequeno.</t>
  </si>
  <si>
    <t>Vassoura de piaçava comum.</t>
  </si>
  <si>
    <t>Vassoura limpa teto - cabo longo</t>
  </si>
  <si>
    <t>Vassoura tipo gari</t>
  </si>
  <si>
    <t>ESPECIFICAÇÃO</t>
  </si>
  <si>
    <t>QUNTI.</t>
  </si>
  <si>
    <t>VALOR UNIT</t>
  </si>
  <si>
    <t>VALOR TOTAL</t>
  </si>
  <si>
    <t>Extensor/prolongador de cabo de vassoura/rodo</t>
  </si>
  <si>
    <t>8,295,0</t>
  </si>
  <si>
    <t>MT000116/2018</t>
  </si>
  <si>
    <t>Servente de Limpeza</t>
  </si>
  <si>
    <t>PCMSO</t>
  </si>
  <si>
    <t>Auxilio Cesta Básica Por Assiduidade</t>
  </si>
  <si>
    <t>Nº do Processo</t>
  </si>
  <si>
    <t>Licitação Nº</t>
  </si>
  <si>
    <t>Mão-de-Obra</t>
  </si>
  <si>
    <t>Produtividade                                                                            (1/M²)</t>
  </si>
  <si>
    <t>Preço                                          Homem/mês                                                   (R$)</t>
  </si>
  <si>
    <r>
      <t>(1X2)      SUB-TOTAL                                                                                (R$/m</t>
    </r>
    <r>
      <rPr>
        <vertAlign val="superscript"/>
        <sz val="9"/>
        <rFont val="Arial"/>
        <family val="2"/>
      </rPr>
      <t>2</t>
    </r>
    <r>
      <rPr>
        <sz val="9"/>
        <rFont val="Arial"/>
        <family val="2"/>
      </rPr>
      <t xml:space="preserve">) </t>
    </r>
  </si>
  <si>
    <t xml:space="preserve">SERVENTE </t>
  </si>
  <si>
    <t>(6)</t>
  </si>
  <si>
    <t xml:space="preserve"> Produtividade                               (1/M²)</t>
  </si>
  <si>
    <t xml:space="preserve">Frequencia                 no mês                              (Horas) </t>
  </si>
  <si>
    <t>Jornada de trabalho no mês                                              (Horas)</t>
  </si>
  <si>
    <t>(1 x 2 x 3)                         Ki</t>
  </si>
  <si>
    <t>Preço Homem                           Mês                                 (R$)</t>
  </si>
  <si>
    <t xml:space="preserve">(4X5)                           SUB-TOTAL                                              (R$/m2) </t>
  </si>
  <si>
    <t>16</t>
  </si>
  <si>
    <t>1 / 191,40</t>
  </si>
  <si>
    <t>VALOR MENSAL DOS SERVIÇOS (A)</t>
  </si>
  <si>
    <t>VALOR GLOBAL DA PROPOSTA  = (A) X 12</t>
  </si>
  <si>
    <t>RONAILDO ATAIDE PASSOS - ME</t>
  </si>
  <si>
    <t>CNPJ: 07,578,036/0001/04</t>
  </si>
  <si>
    <t>Enderaço: Rua Topazio n. 790, Bairro Bosque da Saude-MT</t>
  </si>
  <si>
    <t>e-mail: ronaildo25@hotmail.com</t>
  </si>
  <si>
    <t>23197.09624.2017-19)</t>
  </si>
  <si>
    <t>03/2019</t>
  </si>
  <si>
    <t>1/800</t>
  </si>
  <si>
    <t>PLANILHA CONSOLIDADA PREÇO MENSAL UNITÁRIO POR M²  (CAMPUS CAMPO VERDE)</t>
  </si>
  <si>
    <t>Grupo 01- Campus Campo Verde</t>
  </si>
  <si>
    <t>Área Interna: Pisos Frios</t>
  </si>
  <si>
    <t xml:space="preserve">Área Interna: Áreas com espaços livres: saguão, hall, salão </t>
  </si>
  <si>
    <t>Área Interna: Pisos frios/sanitários com adicional de insalubridade</t>
  </si>
  <si>
    <t xml:space="preserve">Área Externa: Pisos Pavimentados/contíguos às edificações </t>
  </si>
  <si>
    <t xml:space="preserve">Esquadrias externa: Face externa sem exposição a situação de risco </t>
  </si>
  <si>
    <t>Esquadria externa: Face Interna externa sem exposição a situação de risco</t>
  </si>
  <si>
    <t>1/360</t>
  </si>
  <si>
    <t>1/1500</t>
  </si>
  <si>
    <t>1/100</t>
  </si>
  <si>
    <t>1/200</t>
  </si>
  <si>
    <t>1/6000</t>
  </si>
  <si>
    <t>1/300</t>
  </si>
  <si>
    <t>ÁREA INTERNA - Área Interna: Pisos Frios</t>
  </si>
  <si>
    <t xml:space="preserve">Área Interna: Laboratórios </t>
  </si>
  <si>
    <t xml:space="preserve">ÁREA INTERNA - Área Interna: Laboratórios </t>
  </si>
  <si>
    <t>Área Interna: Almoxarifado</t>
  </si>
  <si>
    <t>ÁREA INTERNA - Almoxarifado</t>
  </si>
  <si>
    <t xml:space="preserve">ÁREA INTERNA - Áreas com espaços livres: saguão, hall, salão </t>
  </si>
  <si>
    <t>ÁREA INTERNA - Pisos frios/sanitários com adicional de insalubridade</t>
  </si>
  <si>
    <t>INSTITUTO FEDERAL DE EDUCAÇÃO CIÊNCIA, E TECNOLOGIA DO MATO GROSSO – CAMPUS SÃO VICENTE</t>
  </si>
  <si>
    <t>Cuiabá-MT., 15 de fevereiro de 2019</t>
  </si>
  <si>
    <t>CNPJ N° 07.578.036/0001-04</t>
  </si>
  <si>
    <t>Grupo 01- Campus Jaciara</t>
  </si>
  <si>
    <t>Cuiabá-Campus Campo Verde</t>
  </si>
  <si>
    <t>Cuiabá-Campus Jaciara</t>
  </si>
  <si>
    <t>1/1000</t>
  </si>
  <si>
    <t>1/1800</t>
  </si>
  <si>
    <t>ÁREA INTERNA - Área Interna: Pisos Frios e Acarpetados</t>
  </si>
  <si>
    <t>16-17</t>
  </si>
  <si>
    <t>PLANILHA CONSOLIDADA PREÇO MENSAL UNITÁRIO POR M²  (CAMPUS SÃO VICENTE)</t>
  </si>
  <si>
    <t>INSTITUTO FEDERAL DE EDUCAÇÃO CIÊNCIA, E TECNOLOGIA DO MATO GROSSO – CAMPUS JACIARA</t>
  </si>
  <si>
    <t>INSTITUTO FEDERAL DE EDUCAÇÃO CIÊNCIA, E TECNOLOGIA DO MATO GROSSO – CAMPUS CAMPO VERDE</t>
  </si>
  <si>
    <t>Grupo 01- Campus São Vicente</t>
  </si>
  <si>
    <t>Convenção Coletiva: CCT 2018/2018 - MS000116/2018</t>
  </si>
  <si>
    <t>A validade de proposta será de 90 (noventa) dias, a contar da data de sua apresentação.</t>
  </si>
  <si>
    <t xml:space="preserve">INSTITUTO FEDERAL DE EDUCAÇÃO CIÊNCIA, E TECNOLOGIA DO MATO GROSSO – CAMPUS SÃO VICENTE PREGÃO Nº 03/2019
PROCESSO ADMINISTRATIVO N.° 23197.09624.2017-19
</t>
  </si>
  <si>
    <t>Prestação de serviços natureza continuada de Limpeza, asseio, conservação predial, com fornecimento de mão de obra, uniformes, EPI’s, materiais, utensílios, equipamentos, sob a forma de execução indireta com fornecimento de materiais, equipamentos e mão e obra</t>
  </si>
  <si>
    <t>1/700</t>
  </si>
  <si>
    <t>1/145</t>
  </si>
  <si>
    <t>PLANILHA DE CUSTO E FORMAÇÃO DE PREÇOS</t>
  </si>
  <si>
    <t>Número do Processo:</t>
  </si>
  <si>
    <t>Número da Licitação:</t>
  </si>
  <si>
    <t>Data do Pregão:</t>
  </si>
  <si>
    <t>Horário:</t>
  </si>
  <si>
    <t>Descrição do Serviço:</t>
  </si>
  <si>
    <t>►</t>
  </si>
  <si>
    <t>Município(s)/locais da prestação de serviço</t>
  </si>
  <si>
    <t>Número de meses de execução contratual:</t>
  </si>
  <si>
    <t>Unidade de medida</t>
  </si>
  <si>
    <t>DADOS COMPLEMENTARES PARA COMPOSIÇÃO DOS CUSTOS REFERENTE À MÃO-DE-OBRA</t>
  </si>
  <si>
    <t>Salário Normativo da Categoria Profissional:</t>
  </si>
  <si>
    <t>Categoria profissional (vinculada a execução contratual)</t>
  </si>
  <si>
    <t>Data base da categoria</t>
  </si>
  <si>
    <t>Código Brasileiro de Ocupações - CBO</t>
  </si>
  <si>
    <t>MÓDULO 01 – Composição da Remuneração</t>
  </si>
  <si>
    <t>Adicional de Periculosidade</t>
  </si>
  <si>
    <t>CLT art. 193 e seguintes; CF art. 7º XXIII</t>
  </si>
  <si>
    <t>Adicional de 30%</t>
  </si>
  <si>
    <t>Adicional de Hora Noturna reduzida</t>
  </si>
  <si>
    <t>Adicional de hora extra no feriado</t>
  </si>
  <si>
    <t>VALOR DA REMUNERAÇÃO</t>
  </si>
  <si>
    <t>Módulo 2 – Encargos e benefícios anuais, mensais e diários</t>
  </si>
  <si>
    <r>
      <rPr>
        <sz val="11"/>
        <color theme="1"/>
        <rFont val="Calibri"/>
        <family val="2"/>
        <scheme val="minor"/>
      </rPr>
      <t>Submódulo 2.1 – 13</t>
    </r>
    <r>
      <rPr>
        <vertAlign val="superscript"/>
        <sz val="10"/>
        <color rgb="FF000000"/>
        <rFont val="Century Gothic"/>
        <family val="2"/>
        <charset val="1"/>
      </rPr>
      <t>o</t>
    </r>
    <r>
      <rPr>
        <sz val="10"/>
        <color rgb="FF000000"/>
        <rFont val="Century Gothic"/>
        <family val="2"/>
        <charset val="1"/>
      </rPr>
      <t>. (décimo terceiro) salário, férias e adicional de férias</t>
    </r>
  </si>
  <si>
    <r>
      <rPr>
        <b/>
        <sz val="10"/>
        <color rgb="FF000000"/>
        <rFont val="Arial"/>
        <family val="2"/>
        <charset val="1"/>
      </rPr>
      <t>13</t>
    </r>
    <r>
      <rPr>
        <vertAlign val="superscript"/>
        <sz val="10"/>
        <color rgb="FF000000"/>
        <rFont val="Century Gothic"/>
        <family val="2"/>
        <charset val="1"/>
      </rPr>
      <t>o</t>
    </r>
    <r>
      <rPr>
        <sz val="10"/>
        <color rgb="FF000000"/>
        <rFont val="Century Gothic"/>
        <family val="2"/>
        <charset val="1"/>
      </rPr>
      <t>. Salário</t>
    </r>
  </si>
  <si>
    <t>Adicional de férias</t>
  </si>
  <si>
    <t>Submódulo 2.2 – Encargos Previdenciários (GPS), Fundo de Garantia por Tempo de Serviço (FGTS) e outras contribuições</t>
  </si>
  <si>
    <t>Base de cálculo: Módulo 1 + Smódulo 2.1</t>
  </si>
  <si>
    <t>2.2– Encargos Sociais, Previdenciários e FGTS</t>
  </si>
  <si>
    <t>SESI ou SESC</t>
  </si>
  <si>
    <t>Salário educação</t>
  </si>
  <si>
    <t>SAT/GIIL-RAT</t>
  </si>
  <si>
    <t>FAP:</t>
  </si>
  <si>
    <t>Submódulo 2.3 – Benefícios Mensais e Diários</t>
  </si>
  <si>
    <t>Transporte</t>
  </si>
  <si>
    <t>Auxílio Refeição/ Alimentação</t>
  </si>
  <si>
    <t>Assistência Médica e Familiar</t>
  </si>
  <si>
    <t>Auxílio creche</t>
  </si>
  <si>
    <t>Seguro de vida em grupo</t>
  </si>
  <si>
    <t>Benefício natalidade</t>
  </si>
  <si>
    <t>Quadro resumo do Módulo 2 – Encargos e benefícios anuais, mensais e diário</t>
  </si>
  <si>
    <t>2.1</t>
  </si>
  <si>
    <r>
      <rPr>
        <sz val="11"/>
        <color theme="1"/>
        <rFont val="Calibri"/>
        <family val="2"/>
        <scheme val="minor"/>
      </rPr>
      <t>13</t>
    </r>
    <r>
      <rPr>
        <vertAlign val="superscript"/>
        <sz val="10"/>
        <color rgb="FF000000"/>
        <rFont val="Century Gothic"/>
        <family val="2"/>
        <charset val="1"/>
      </rPr>
      <t>o</t>
    </r>
    <r>
      <rPr>
        <sz val="10"/>
        <color rgb="FF000000"/>
        <rFont val="Century Gothic"/>
        <family val="2"/>
        <charset val="1"/>
      </rPr>
      <t>. Salário, férias e adicional de férias</t>
    </r>
  </si>
  <si>
    <t>2.2</t>
  </si>
  <si>
    <t>GPS, FGTS e outras contribuições</t>
  </si>
  <si>
    <t>2.3</t>
  </si>
  <si>
    <t>Benefícios Mensais e diários</t>
  </si>
  <si>
    <t>Módulo 3 – Provisão para rescisão</t>
  </si>
  <si>
    <t>Base de Cálculo (Módulo 1 + Smódulo 2.1):</t>
  </si>
  <si>
    <t>dias</t>
  </si>
  <si>
    <t>% de ocorrência:</t>
  </si>
  <si>
    <t>Incidência do FGTS sobre Aviso Prévio Indenizado</t>
  </si>
  <si>
    <t>Incidência do SM 2.2 sobre o Aviso Prévio Trabalhado</t>
  </si>
  <si>
    <t>Base de Cálculo (Módulo 1):</t>
  </si>
  <si>
    <t>Multa do FGTS (Conta vinculada)</t>
  </si>
  <si>
    <t>Módulo 4 – Custo de reposição do profissional ausente</t>
  </si>
  <si>
    <t>Submódulo 4.1 – Ausências legais</t>
  </si>
  <si>
    <t>Base de Cálculo (Módulo 1)</t>
  </si>
  <si>
    <t>Férias</t>
  </si>
  <si>
    <t>Base de Cálculo (Módulo 1 + SM 2.1)</t>
  </si>
  <si>
    <t>Auxilio Doença</t>
  </si>
  <si>
    <t>Licença paternidade</t>
  </si>
  <si>
    <t>Ausência por acidente do trabalho</t>
  </si>
  <si>
    <t>Incidência do SM 2.2 sobre SM 4.1</t>
  </si>
  <si>
    <t>Submódulo 4.2 – Intrajornada</t>
  </si>
  <si>
    <t>Intervalo para repouso e alimentação</t>
  </si>
  <si>
    <t>Quadro resumo do Módulo 4 – Custo de reposição do profissional ausente</t>
  </si>
  <si>
    <t>Ausências legais</t>
  </si>
  <si>
    <t>Intrajornada</t>
  </si>
  <si>
    <t>MÓDULO 05 – Insumos Diversos</t>
  </si>
  <si>
    <t>Uniformes (custo mensal por empregado)</t>
  </si>
  <si>
    <t>Outros (especificar) (custo mensal por empregado)</t>
  </si>
  <si>
    <t>--</t>
  </si>
  <si>
    <t>Mão-de-obra vinculada à execução contratual (valor por empregado)</t>
  </si>
  <si>
    <t>MÓDULO 02 –Encargos e benefícios anuais, mensais e diários</t>
  </si>
  <si>
    <t>MÓDULO 03 – Provisão para rescisão</t>
  </si>
  <si>
    <t>MÓDULO 04 – Custo de reposição do profissional ausente</t>
  </si>
  <si>
    <t>MÓDULO 05 – Insumos diversos</t>
  </si>
  <si>
    <t>Custo Direto - Subtotal (A+B+C+D+E)</t>
  </si>
  <si>
    <t>MÓDULO 06 – Custos Indireto, Lucros e Tributos</t>
  </si>
  <si>
    <t>Custos Indiretos / Despesas Administrativas</t>
  </si>
  <si>
    <t>Percentual</t>
  </si>
  <si>
    <t>Valor</t>
  </si>
  <si>
    <t>Total de Custos Indireto, Lucros e Tributos</t>
  </si>
  <si>
    <t>Valor total proposto por empregado</t>
  </si>
  <si>
    <t>Adicional Assiduidade</t>
  </si>
  <si>
    <t>23197.09624.2017-19</t>
  </si>
  <si>
    <t>Pregão Eletronica n° 03/2019</t>
  </si>
  <si>
    <t>CAMPUS SÃO VICENTE</t>
  </si>
  <si>
    <t>Cesta básica por Assiduidade</t>
  </si>
  <si>
    <t>Equipamentos  (custo mensal por empregado)</t>
  </si>
  <si>
    <t xml:space="preserve"> Materiais (custo mensal por empregado)</t>
  </si>
  <si>
    <t>Transporte (Alternativo)</t>
  </si>
  <si>
    <t>CAMPUS CAMPO VERDE</t>
  </si>
  <si>
    <t>1/1430</t>
  </si>
  <si>
    <t>1/260</t>
  </si>
  <si>
    <t>1/255</t>
  </si>
  <si>
    <t>1/135</t>
  </si>
  <si>
    <r>
      <t xml:space="preserve">1 - Propomos prestar, sob nossa integral responsabilidade, os serviços de “Prestação de Serviços de Limpeza, Conservação e Higienização”, com fornecimento de todo material necessário, a serem executados de forma contínua, nas instalações O objeto da presente licitação é a escolha da proposta mais vantajosa para a contratação de prestação de serviços de limpeza, asseio, conservação,  
2 – Desta forma, o valor mensal é de </t>
    </r>
    <r>
      <rPr>
        <b/>
        <sz val="10"/>
        <color rgb="FFFF0000"/>
        <rFont val="Calibri"/>
        <family val="2"/>
        <scheme val="minor"/>
      </rPr>
      <t>R$ 73.741,40 (SETENTA E TRES MIL SETECENTO E QUARENTA E UM REAIS E QUARENTA CENTAVOS), e o valor global para o período de 12 (doze) meses é de R$ 884.908,80 (OITOCENTOS E OITENTA E QUATRO MIL NOVECENTOS E OITO REAIS E OITENTA CENTAVOS).</t>
    </r>
    <r>
      <rPr>
        <sz val="10"/>
        <rFont val="Calibri"/>
        <family val="2"/>
        <scheme val="minor"/>
      </rPr>
      <t xml:space="preserve"> 
3 - Nos preços indicados acima estão incluídos, além dos serviços, todos os custos, benefícios, encargos, tributos e demais contribuições pertinentes. 
4 – Declaramos que esta proposta é Exequível e possuímos plena capacidade de executar o contrato nos valores acima mencionados, ainda que os mesmos possam, eventualmente, se apresentar abaixo dos limites mínimos estabelecidos pela Portaria do MP. 
5 – Declaramos conhecer a legislação de regência desta licitação e que os componentes serão fornecidos de acordo com as condições estabelecidas neste Edital, o que conhecemos e aceitamos em todos os seus termos, inclusive quanto ao pagamento e outros. 
6 – Declaramos, também, que nenhum direito a indenização ou a reembolso de quaisquer despesas nos será devido, caso a nossa proposta não seja aceita, seja qual for o motivo. 
7 - Esta proposta é válida por 60 (sessenta) dias, a contar da data estabelecida para a sua apresentação. 
8 - Os pagamentos deverão ser creditados à conta corrente n.° 24502-X, agência: 4042-8, Banco:001. 
9 – O responsável pela assinatura do Contrato, é o(a) Sr(a) RONAILDO ATAIDE PASSOS , portador(a) da Carteira de Identidade nº 10388117 SSP/MT e do CPF/MF nº 819.930.561-49. 
10 - Os contatos poderão ser efetuados através do telefone (65) 3642-4902, e do e-mail: ronaildo25@hotmail.com. 
</t>
    </r>
  </si>
  <si>
    <t>Tributos  Totais, PIS-0,41%, COFINS-1,87%,ISS-5,00%</t>
  </si>
  <si>
    <t>PLANILHA CONSOLIDADA PREÇO MENSAL UNITÁRIO POR M²  (CAMPUS JACIARA)</t>
  </si>
  <si>
    <t>CAMPUS JACIARA</t>
  </si>
  <si>
    <t>ÁREA INTERNA - LABORATORIOS</t>
  </si>
  <si>
    <t>CONTRATO INSTITUTO FEDERAL DE MATO GROSSO - SÃO VICENTE</t>
  </si>
  <si>
    <t>LEGENDA DA PERIODICIDADE DO FORNECIMENTO DE INSUMOS</t>
  </si>
  <si>
    <t>VALOR LICITADO</t>
  </si>
  <si>
    <t>VALOR CONTRATATO</t>
  </si>
  <si>
    <t>PERCENTUAL  DIFERENÇA CONTRATADO</t>
  </si>
  <si>
    <t>LOCALIDADE</t>
  </si>
  <si>
    <t>PERCENTUAL CONTRATADO</t>
  </si>
  <si>
    <t>MENSAL</t>
  </si>
  <si>
    <t>BIMESTRAL</t>
  </si>
  <si>
    <t>SEMESTRAL</t>
  </si>
  <si>
    <t>ANUAL</t>
  </si>
  <si>
    <t>CAMPO VERDE</t>
  </si>
  <si>
    <t>JACIARA</t>
  </si>
  <si>
    <t>SÃO VICENTE</t>
  </si>
  <si>
    <t>Quantitivo Licitado</t>
  </si>
  <si>
    <t>Quantitativo Contratado</t>
  </si>
  <si>
    <t>preço</t>
  </si>
  <si>
    <t>QUANTIDADES</t>
  </si>
  <si>
    <r>
      <rPr>
        <b/>
        <sz val="10"/>
        <color rgb="FF231F20"/>
        <rFont val="Arial"/>
        <family val="2"/>
      </rPr>
      <t>Item</t>
    </r>
  </si>
  <si>
    <r>
      <rPr>
        <b/>
        <sz val="10"/>
        <color rgb="FF231F20"/>
        <rFont val="Arial"/>
        <family val="2"/>
      </rPr>
      <t>Descrição</t>
    </r>
  </si>
  <si>
    <r>
      <rPr>
        <b/>
        <sz val="10"/>
        <color rgb="FF231F20"/>
        <rFont val="Arial"/>
        <family val="2"/>
      </rPr>
      <t>Unidade</t>
    </r>
  </si>
  <si>
    <r>
      <rPr>
        <b/>
        <sz val="10"/>
        <color rgb="FF231F20"/>
        <rFont val="Arial"/>
        <family val="2"/>
      </rPr>
      <t>Quant.</t>
    </r>
  </si>
  <si>
    <r>
      <rPr>
        <b/>
        <sz val="10"/>
        <color rgb="FF231F20"/>
        <rFont val="Arial"/>
        <family val="2"/>
      </rPr>
      <t>Período</t>
    </r>
  </si>
  <si>
    <r>
      <rPr>
        <sz val="10"/>
        <color rgb="FF231F20"/>
        <rFont val="Arial"/>
        <family val="2"/>
      </rPr>
      <t>Água sanitária. Solução aquosa a base de  hipoclorito  de  sódio,  com  função alvejante   e   desinfetante.   Frasco   de 1.000ml.  Embalagem  com  impressão do  nome  do  fabricante  e  indicação  de registro   ANVISA.   Prazo   de   validade impresso na embalagem e não inferior a  11  meses  contados  a  partir  da  data de recebimento definitivo.</t>
    </r>
  </si>
  <si>
    <r>
      <rPr>
        <sz val="10"/>
        <color rgb="FF231F20"/>
        <rFont val="Arial"/>
        <family val="2"/>
      </rPr>
      <t>Unid.</t>
    </r>
  </si>
  <si>
    <r>
      <rPr>
        <sz val="10"/>
        <color rgb="FF08090C"/>
        <rFont val="Arial"/>
        <family val="2"/>
      </rPr>
      <t xml:space="preserve">São Vicente - SEDE </t>
    </r>
    <r>
      <rPr>
        <sz val="10"/>
        <color rgb="FF231F20"/>
        <rFont val="Arial"/>
        <family val="2"/>
      </rPr>
      <t xml:space="preserve">30 CR Campo Verde 15 </t>
    </r>
    <r>
      <rPr>
        <sz val="10"/>
        <color rgb="FF08090C"/>
        <rFont val="Arial"/>
        <family val="2"/>
      </rPr>
      <t>CR Jaciara 07</t>
    </r>
  </si>
  <si>
    <r>
      <rPr>
        <sz val="10"/>
        <color rgb="FF231F20"/>
        <rFont val="Arial"/>
        <family val="2"/>
      </rPr>
      <t>Mensal</t>
    </r>
  </si>
  <si>
    <t>São Vicente - SEDE 15 CR Campo Verde 7 CR Jaciara 3,0</t>
  </si>
  <si>
    <r>
      <rPr>
        <sz val="10"/>
        <color rgb="FF231F20"/>
        <rFont val="Arial"/>
        <family val="2"/>
      </rPr>
      <t>Álcool  Etílico  diluído  a  46º  para  fins saneantes,   acondicionado   em   frasco plástico de 1 litro.</t>
    </r>
  </si>
  <si>
    <r>
      <rPr>
        <sz val="10"/>
        <color rgb="FF08090C"/>
        <rFont val="Arial"/>
        <family val="2"/>
      </rPr>
      <t xml:space="preserve">São Vicente - SEDE </t>
    </r>
    <r>
      <rPr>
        <sz val="10"/>
        <color rgb="FF231F20"/>
        <rFont val="Arial"/>
        <family val="2"/>
      </rPr>
      <t xml:space="preserve">10 CR Campo Verde 05 </t>
    </r>
    <r>
      <rPr>
        <sz val="10"/>
        <color rgb="FF08090C"/>
        <rFont val="Arial"/>
        <family val="2"/>
      </rPr>
      <t>CR Jaciara 02</t>
    </r>
  </si>
  <si>
    <t>São Vicente - SEDE 5,0 CR Campo Verde 20 CR Jaciara 01</t>
  </si>
  <si>
    <r>
      <rPr>
        <sz val="10"/>
        <color rgb="FF231F20"/>
        <rFont val="Arial"/>
        <family val="2"/>
      </rPr>
      <t>Aromatizante para ambiente</t>
    </r>
  </si>
  <si>
    <r>
      <rPr>
        <sz val="10"/>
        <color rgb="FF08090C"/>
        <rFont val="Arial"/>
        <family val="2"/>
      </rPr>
      <t xml:space="preserve">São Vicente - SEDE </t>
    </r>
    <r>
      <rPr>
        <sz val="10"/>
        <color rgb="FF231F20"/>
        <rFont val="Arial"/>
        <family val="2"/>
      </rPr>
      <t xml:space="preserve">03 CR Campo Verde 01 </t>
    </r>
    <r>
      <rPr>
        <sz val="10"/>
        <color rgb="FF08090C"/>
        <rFont val="Arial"/>
        <family val="2"/>
      </rPr>
      <t>CR Jaciara 01</t>
    </r>
  </si>
  <si>
    <t>São Vicente - SEDE 2,0 CR Campo Verde 01 CR Jaciara 01</t>
  </si>
  <si>
    <r>
      <rPr>
        <sz val="10"/>
        <color rgb="FF231F20"/>
        <rFont val="Arial"/>
        <family val="2"/>
      </rPr>
      <t>Balde    plástico,    cor    vermelho    com capacidade     para     12     litros,     em polipropileno. Com alça em metal e aro redondo.</t>
    </r>
  </si>
  <si>
    <r>
      <rPr>
        <sz val="10"/>
        <color rgb="FF231F20"/>
        <rFont val="Arial"/>
        <family val="2"/>
      </rPr>
      <t>Unidade</t>
    </r>
  </si>
  <si>
    <r>
      <rPr>
        <sz val="10"/>
        <color rgb="FF08090C"/>
        <rFont val="Arial"/>
        <family val="2"/>
      </rPr>
      <t xml:space="preserve">São Vicente - SEDE </t>
    </r>
    <r>
      <rPr>
        <sz val="10"/>
        <color rgb="FF231F20"/>
        <rFont val="Arial"/>
        <family val="2"/>
      </rPr>
      <t xml:space="preserve">20 CR Campo Verde 04 </t>
    </r>
    <r>
      <rPr>
        <sz val="10"/>
        <color rgb="FF08090C"/>
        <rFont val="Arial"/>
        <family val="2"/>
      </rPr>
      <t>CR Jaciara 02</t>
    </r>
  </si>
  <si>
    <r>
      <rPr>
        <sz val="10"/>
        <color rgb="FF231F20"/>
        <rFont val="Arial"/>
        <family val="2"/>
      </rPr>
      <t>Semestral</t>
    </r>
  </si>
  <si>
    <t>São Vicente - SEDE 9,00 CR Campo Verde 2,00 CR Jaciara 01</t>
  </si>
  <si>
    <r>
      <rPr>
        <sz val="10"/>
        <color rgb="FF231F20"/>
        <rFont val="Arial"/>
        <family val="2"/>
      </rPr>
      <t>Cabo em alumínio adonisado, revestido por luva de polipropileno, comprimento 1,40m   e   diâmetro   de   2,2cm   com encaixes   e   roscas,   utilizado   como acessório  de  rodos,  vassouras  e  mop. Conjunto  de  mop  úmido  com  troca  de refil semestral</t>
    </r>
  </si>
  <si>
    <r>
      <rPr>
        <sz val="10"/>
        <color rgb="FF08090C"/>
        <rFont val="Arial"/>
        <family val="2"/>
      </rPr>
      <t>São Vicente - SEDE</t>
    </r>
    <r>
      <rPr>
        <sz val="10"/>
        <color rgb="FF231F20"/>
        <rFont val="Arial"/>
        <family val="2"/>
      </rPr>
      <t xml:space="preserve">20 CR Campo Verde 02 </t>
    </r>
    <r>
      <rPr>
        <sz val="10"/>
        <color rgb="FF08090C"/>
        <rFont val="Arial"/>
        <family val="2"/>
      </rPr>
      <t>CR Jaciara 02</t>
    </r>
  </si>
  <si>
    <t>São Vicente - SEDE 9,00 CR Campo Verde 01 CR Jaciara 01</t>
  </si>
  <si>
    <r>
      <rPr>
        <sz val="10"/>
        <color rgb="FF231F20"/>
        <rFont val="Arial"/>
        <family val="2"/>
      </rPr>
      <t>Cera,  tipo  liquida,  cor  incolor  leitoso, composição       parafina,      cera       de polimento,   óleo   vegetal   hidrogenado, características                         adicionais antiderrapantes,  frasco  c/  alça,  tampa dosadora,   aplicação   em   limpeza   de pisos.</t>
    </r>
  </si>
  <si>
    <r>
      <rPr>
        <sz val="10"/>
        <color rgb="FF231F20"/>
        <rFont val="Arial"/>
        <family val="2"/>
      </rPr>
      <t>Galão com 5 litros</t>
    </r>
  </si>
  <si>
    <r>
      <rPr>
        <sz val="10"/>
        <color rgb="FF08090C"/>
        <rFont val="Arial"/>
        <family val="2"/>
      </rPr>
      <t xml:space="preserve">São Vicente - SEDE </t>
    </r>
    <r>
      <rPr>
        <sz val="10"/>
        <color rgb="FF231F20"/>
        <rFont val="Arial"/>
        <family val="2"/>
      </rPr>
      <t xml:space="preserve">60 CR Campo Verde 08 </t>
    </r>
    <r>
      <rPr>
        <sz val="10"/>
        <color rgb="FF08090C"/>
        <rFont val="Arial"/>
        <family val="2"/>
      </rPr>
      <t>CR Jaciara 02</t>
    </r>
  </si>
  <si>
    <t>São Vicente - SEDE 27,0 CR Campo Verde 4,0 CR Jaciara 01</t>
  </si>
  <si>
    <r>
      <rPr>
        <sz val="10"/>
        <color rgb="FF231F20"/>
        <rFont val="Arial"/>
        <family val="2"/>
      </rPr>
      <t>Desinfetante,  composição  à  base  de fenóis  sintéticos:  o-benzil-p-clorofenol, principio ativo orto-fenilfenol e p-tércio- butilfenol,  forma  física  solução  aquosa concentrada  e  perfumado;  com  teores conforme   programa   de   análise   do INMETRO</t>
    </r>
  </si>
  <si>
    <r>
      <rPr>
        <sz val="10"/>
        <color rgb="FF231F20"/>
        <rFont val="Arial"/>
        <family val="2"/>
      </rPr>
      <t>Frasco de 1 litro</t>
    </r>
  </si>
  <si>
    <r>
      <rPr>
        <sz val="10"/>
        <color rgb="FF08090C"/>
        <rFont val="Arial"/>
        <family val="2"/>
      </rPr>
      <t xml:space="preserve">São Vicente - SEDE </t>
    </r>
    <r>
      <rPr>
        <sz val="10"/>
        <color rgb="FF231F20"/>
        <rFont val="Arial"/>
        <family val="2"/>
      </rPr>
      <t xml:space="preserve">100 CR Campo Verde 30 </t>
    </r>
    <r>
      <rPr>
        <sz val="10"/>
        <color rgb="FF08090C"/>
        <rFont val="Arial"/>
        <family val="2"/>
      </rPr>
      <t xml:space="preserve"> CR Jaciara 15</t>
    </r>
  </si>
  <si>
    <t>São Vicente - SEDE 45,00 CR Campo Verde 14,00  CR Jaciara 7,00</t>
  </si>
  <si>
    <r>
      <rPr>
        <sz val="10"/>
        <color rgb="FF231F20"/>
        <rFont val="Arial"/>
        <family val="2"/>
      </rPr>
      <t>Desodorizador   sanitário,   desinfetante, sólido (pedra sanitária), aromatizado.</t>
    </r>
  </si>
  <si>
    <r>
      <rPr>
        <sz val="10"/>
        <color rgb="FF231F20"/>
        <rFont val="Arial"/>
        <family val="2"/>
      </rPr>
      <t>Embalagem de 50gramas</t>
    </r>
  </si>
  <si>
    <r>
      <rPr>
        <sz val="10"/>
        <color rgb="FF08090C"/>
        <rFont val="Arial"/>
        <family val="2"/>
      </rPr>
      <t xml:space="preserve">São Vicente - SEDE </t>
    </r>
    <r>
      <rPr>
        <sz val="10"/>
        <color rgb="FF231F20"/>
        <rFont val="Arial"/>
        <family val="2"/>
      </rPr>
      <t xml:space="preserve">200 CR Campo Verde 50 </t>
    </r>
    <r>
      <rPr>
        <sz val="10"/>
        <color rgb="FF08090C"/>
        <rFont val="Arial"/>
        <family val="2"/>
      </rPr>
      <t xml:space="preserve"> CR Jaciara 15</t>
    </r>
  </si>
  <si>
    <t>São Vicente - SEDE 90,00 CR Campo Verde 22,00  CR Jaciara 7,00</t>
  </si>
  <si>
    <r>
      <rPr>
        <sz val="10"/>
        <color rgb="FF231F20"/>
        <rFont val="Arial"/>
        <family val="2"/>
      </rPr>
      <t>Detergente  de  limpeza,  composto  de agente   alcalino,   soluente,   detergente sintético linear, alquibenzeno, sulfonato de  sódio,  para  remoção  de  gordura  e sujeira  em  geral,  contendo  tensoativo biodegradável. Neutro</t>
    </r>
  </si>
  <si>
    <r>
      <rPr>
        <sz val="10"/>
        <color rgb="FF231F20"/>
        <rFont val="Arial"/>
        <family val="2"/>
      </rPr>
      <t>Frasco 500ml</t>
    </r>
  </si>
  <si>
    <r>
      <rPr>
        <sz val="10"/>
        <color rgb="FF231F20"/>
        <rFont val="Arial"/>
        <family val="2"/>
      </rPr>
      <t xml:space="preserve">São Vicente - SEDE 40 CR Campo Verde 30 </t>
    </r>
    <r>
      <rPr>
        <sz val="10"/>
        <color rgb="FF08090C"/>
        <rFont val="Arial"/>
        <family val="2"/>
      </rPr>
      <t>CR Jaciara 10</t>
    </r>
  </si>
  <si>
    <t>São Vicente - SEDE 18 CR Campo Verde 14,00 CR Jaciara 4,00</t>
  </si>
  <si>
    <r>
      <rPr>
        <sz val="10"/>
        <color rgb="FF08090C"/>
        <rFont val="Arial"/>
        <family val="2"/>
      </rPr>
      <t>Detergente      industrial      para      piso, amoniacal,  dodecilbenzeno,  aplicação remoção  gordura  e  sujeira  em  geral, características   adicionais   líquido.   Em galão de 5 litros</t>
    </r>
  </si>
  <si>
    <r>
      <rPr>
        <sz val="10"/>
        <color rgb="FF08090C"/>
        <rFont val="Arial"/>
        <family val="2"/>
      </rPr>
      <t>Unid</t>
    </r>
  </si>
  <si>
    <r>
      <rPr>
        <sz val="10"/>
        <color rgb="FF08090C"/>
        <rFont val="Arial"/>
        <family val="2"/>
      </rPr>
      <t>São Vicente- SEDE 15 CR Campo Verde ---- CR Jaciara ------</t>
    </r>
  </si>
  <si>
    <r>
      <rPr>
        <sz val="10"/>
        <color rgb="FF08090C"/>
        <rFont val="Arial"/>
        <family val="2"/>
      </rPr>
      <t>Mensal</t>
    </r>
  </si>
  <si>
    <t>São Vicente- SEDE 7,00 CR Campo Verde ---- CR Jaciara ------</t>
  </si>
  <si>
    <r>
      <rPr>
        <sz val="10"/>
        <color rgb="FF08090C"/>
        <rFont val="Arial"/>
        <family val="2"/>
      </rPr>
      <t>Escova    de    Roupa,    material    corpo madeira,        tratamento        superficial envernizado,  material  cerdas  sintético, cor cerdas branca e marrom. Tamanho aproximado 12 x 7 cm.</t>
    </r>
  </si>
  <si>
    <r>
      <rPr>
        <sz val="10"/>
        <color rgb="FF08090C"/>
        <rFont val="Arial"/>
        <family val="2"/>
      </rPr>
      <t>São Vicente - SEDE 06 CR Campo Verde 03 CR Jaciara 01</t>
    </r>
  </si>
  <si>
    <r>
      <rPr>
        <sz val="10"/>
        <color rgb="FF08090C"/>
        <rFont val="Arial"/>
        <family val="2"/>
      </rPr>
      <t>Bimestral</t>
    </r>
  </si>
  <si>
    <t>São Vicente - SEDE 4,00 CR Campo Verde 2,00 CR Jaciara 01</t>
  </si>
  <si>
    <r>
      <rPr>
        <sz val="10"/>
        <color rgb="FF08090C"/>
        <rFont val="Arial"/>
        <family val="2"/>
      </rPr>
      <t>Escova para lavar vaso sanitário</t>
    </r>
  </si>
  <si>
    <r>
      <rPr>
        <sz val="10"/>
        <color rgb="FF08090C"/>
        <rFont val="Arial"/>
        <family val="2"/>
      </rPr>
      <t>São Vicente - SEDE 15 CR Campo Verde 06 CR Jaciara 05</t>
    </r>
  </si>
  <si>
    <r>
      <rPr>
        <sz val="10"/>
        <color rgb="FF08090C"/>
        <rFont val="Arial"/>
        <family val="2"/>
      </rPr>
      <t>Semestral</t>
    </r>
  </si>
  <si>
    <t>São Vicente - SEDE 7,0 CR Campo Verde 03 CR Jaciara 03</t>
  </si>
  <si>
    <r>
      <rPr>
        <sz val="10"/>
        <color rgb="FF08090C"/>
        <rFont val="Arial"/>
        <family val="2"/>
      </rPr>
      <t>Esponja  de  lã  de  aço  (fina  e  grossa), formato       anatômico,       abrasividade média, aplicação utensílios domésticos. Embalagem c/ 8 unid.</t>
    </r>
  </si>
  <si>
    <r>
      <rPr>
        <sz val="10"/>
        <color rgb="FF08090C"/>
        <rFont val="Arial"/>
        <family val="2"/>
      </rPr>
      <t>São Vicente - SEDE 10 CR Campo Verde 06 CR Jaciara 05</t>
    </r>
  </si>
  <si>
    <t>São Vicente - SEDE 05 CR Campo Verde 03 CR Jaciara 03</t>
  </si>
  <si>
    <r>
      <rPr>
        <sz val="10"/>
        <color rgb="FF08090C"/>
        <rFont val="Arial"/>
        <family val="2"/>
      </rPr>
      <t>Esponja  para  Limpeza,  espuma/fibra, sintética,      retangular,      alta/mínima, limpeza geral, dupla face (uma macia e outra áspera). Pacote com 3 unidades.</t>
    </r>
  </si>
  <si>
    <r>
      <rPr>
        <sz val="10"/>
        <color rgb="FF08090C"/>
        <rFont val="Arial"/>
        <family val="2"/>
      </rPr>
      <t>São Vicente - SEDE 50 CR Campo Verde 06 CR Jaciara 05</t>
    </r>
  </si>
  <si>
    <t>São Vicente - SEDE 25 CR Campo Verde 03 CR Jaciara 03</t>
  </si>
  <si>
    <r>
      <rPr>
        <sz val="10"/>
        <color rgb="FF08090C"/>
        <rFont val="Arial"/>
        <family val="2"/>
      </rPr>
      <t>Flanela  100  %  algodão,  comprimento 40 cm, largura 30 cm, cor branca.</t>
    </r>
  </si>
  <si>
    <r>
      <rPr>
        <sz val="10"/>
        <color rgb="FF08090C"/>
        <rFont val="Arial"/>
        <family val="2"/>
      </rPr>
      <t>São Vicente - SEDE 20 CR Campo Verde 06 CR Jaciara 05</t>
    </r>
  </si>
  <si>
    <t>São Vicente - SEDE 10 CR Campo Verde 03 CR Jaciara 03</t>
  </si>
  <si>
    <r>
      <rPr>
        <sz val="10"/>
        <color rgb="FF08090C"/>
        <rFont val="Arial"/>
        <family val="2"/>
      </rPr>
      <t>Inseticida,  combate  a  pragas,  aerossol em   base   aquosa   multiplus,   mínimo cheiro. Frasco com 300 ml.</t>
    </r>
  </si>
  <si>
    <r>
      <rPr>
        <sz val="10"/>
        <color rgb="FF08090C"/>
        <rFont val="Arial"/>
        <family val="2"/>
      </rPr>
      <t>São Vicente - SEDE 06 CR Campo Verde 03 CR Jaciara 02</t>
    </r>
  </si>
  <si>
    <t>São Vicente - SEDE 03 CR Campo Verde 01 CR Jaciara 01</t>
  </si>
  <si>
    <r>
      <rPr>
        <sz val="10"/>
        <color rgb="FF08090C"/>
        <rFont val="Arial"/>
        <family val="2"/>
      </rPr>
      <t>Luva    de    Borracha    para    Limpeza, forrada, tipo punho longo. Composição: látex.          Acabamento     com     frisos antiderrapantes na palma. Tamanhos P, M   ,   G   nas   cores   Azul   e   Amarela. Produto com certificado de aprovação.</t>
    </r>
  </si>
  <si>
    <r>
      <rPr>
        <sz val="10"/>
        <color rgb="FF08090C"/>
        <rFont val="Arial"/>
        <family val="2"/>
      </rPr>
      <t>Par</t>
    </r>
  </si>
  <si>
    <r>
      <rPr>
        <sz val="10"/>
        <color rgb="FF08090C"/>
        <rFont val="Arial"/>
        <family val="2"/>
      </rPr>
      <t>São Vicente - SEDE 50 CR Campo Verde 06 CR Jaciara 04</t>
    </r>
  </si>
  <si>
    <t>São Vicente - SEDE 25 CR Campo Verde 03 CR Jaciara 02</t>
  </si>
  <si>
    <r>
      <rPr>
        <sz val="10"/>
        <color rgb="FF08090C"/>
        <rFont val="Arial"/>
        <family val="2"/>
      </rPr>
      <t>Pá   de   metal   para   lixo   com   cabo madeira 70 cm</t>
    </r>
  </si>
  <si>
    <r>
      <rPr>
        <sz val="10"/>
        <color rgb="FF08090C"/>
        <rFont val="Arial"/>
        <family val="2"/>
      </rPr>
      <t>São Vicente - SEDE 15 CR Campo Verde 04 CR Jaciara 02</t>
    </r>
  </si>
  <si>
    <t>São Vicente - SEDE 08 CR Campo Verde 02 CR Jaciara 01</t>
  </si>
  <si>
    <r>
      <rPr>
        <sz val="10"/>
        <color rgb="FF08090C"/>
        <rFont val="Arial"/>
        <family val="2"/>
      </rPr>
      <t>Pano de chão, material 100% algodão, tamanho 70x50 cm, alvejado.</t>
    </r>
  </si>
  <si>
    <r>
      <rPr>
        <sz val="10"/>
        <color rgb="FF08090C"/>
        <rFont val="Arial"/>
        <family val="2"/>
      </rPr>
      <t xml:space="preserve">São  Vicente  -  SEDE  30 CR Campo Verde 07
</t>
    </r>
    <r>
      <rPr>
        <sz val="10"/>
        <color rgb="FF08090C"/>
        <rFont val="Arial"/>
        <family val="2"/>
      </rPr>
      <t>CR Jaciara 03</t>
    </r>
  </si>
  <si>
    <t>São  Vicente  -  SEDE  15 CR Campo Verde 04
CR Jaciara 02</t>
  </si>
  <si>
    <r>
      <rPr>
        <sz val="11"/>
        <color rgb="FF08090C"/>
        <rFont val="Arial"/>
        <family val="2"/>
      </rPr>
      <t xml:space="preserve">Papel  higiênico  −  folha  dupla,  Classe 01,  fragrância  neutra,  na  cor  branca, alvura maior que 80%, índice de maciez menor   que   6   NmƒG,   resistência   à tração  ponderada  igual  ou  maior  que
</t>
    </r>
    <r>
      <rPr>
        <sz val="11"/>
        <color rgb="FF08090C"/>
        <rFont val="Arial"/>
        <family val="2"/>
      </rPr>
      <t xml:space="preserve">90  nƒm,  quantidade  de  furos  menor que   100   mm2ƒm2,   quantidade   de pintas menor que 200 mm2ƒm2, tempo de  absorção  de  água  menor  que  6  s, conforme norma ABTN NBR 15464−1 e 15134, características complementares: matéria   prima   100%   fibra   vegetal, comprimento  do  rolo  40  m  −  com tolerância de 2%, com largura de 10 cm
</t>
    </r>
    <r>
      <rPr>
        <sz val="11"/>
        <color rgb="FF08090C"/>
        <rFont val="Arial"/>
        <family val="2"/>
      </rPr>
      <t>−  com  tolerância  de  2%, diâmetro  no Maximo 11,7 cm, largura do tubete 10 cm − com tolerância de 2%, diâmetro interno   maior   que   4   cm,   formato gofrado,  picotado,  neutro.  Rotulagem contendo: com identificação da classe, marca, quantidade de rolos,  metragem do   papel,   nome   do   fabricante   e fantasia, CNPJ, e−mail, telefone do SAC, embalagem  com  boa  visibilidade  do produto.   Produzido   conforme   NBR 15464−1 e 15134 e suas atualizações.</t>
    </r>
  </si>
  <si>
    <r>
      <rPr>
        <sz val="10"/>
        <color rgb="FF08090C"/>
        <rFont val="Arial"/>
        <family val="2"/>
      </rPr>
      <t>Fardo</t>
    </r>
  </si>
  <si>
    <r>
      <rPr>
        <sz val="10"/>
        <color rgb="FF08090C"/>
        <rFont val="Arial"/>
        <family val="2"/>
      </rPr>
      <t>São Vicente - SEDE 25 CR Campo Verde 06 CR Jaciara 02</t>
    </r>
  </si>
  <si>
    <t>São Vicente - SEDE 12 CR Campo Verde 03 CR Jaciara 01</t>
  </si>
  <si>
    <r>
      <rPr>
        <sz val="10"/>
        <color rgb="FF08090C"/>
        <rFont val="Arial"/>
        <family val="2"/>
      </rPr>
      <t>Sabão     em     Barra,     características adicionais:  sabão  de  ácidos  graxos  de coco/babaçu ou glicerinado, incolor, em pacotes com 5 unid.</t>
    </r>
  </si>
  <si>
    <r>
      <rPr>
        <sz val="10"/>
        <color rgb="FF08090C"/>
        <rFont val="Arial"/>
        <family val="2"/>
      </rPr>
      <t>São Vicente - SEDE 10 CR Campo Verde 03 CR Jaciara 01</t>
    </r>
  </si>
  <si>
    <t>São Vicente - SEDE 05 CR Campo Verde 02 CR Jaciara 01</t>
  </si>
  <si>
    <r>
      <rPr>
        <sz val="10"/>
        <color rgb="FF08090C"/>
        <rFont val="Arial"/>
        <family val="2"/>
      </rPr>
      <t>Sabão em pó, Para lavagem de roupas, Composição: alquil benzeno  sulfato de sódio,     corante,     Fragrância     Floral Embalagem   com   1000  g,Embalagem com  impressão  do  nome  do  fabricante e indicação de registro na ANVISA/MS. Tensoativo     aniônico     biodegradável. Prazo     de     validade     impresso     na</t>
    </r>
  </si>
  <si>
    <r>
      <rPr>
        <sz val="10"/>
        <color rgb="FF08090C"/>
        <rFont val="Arial"/>
        <family val="2"/>
      </rPr>
      <t>São Vicente - SEDE 60 CR Campo Verde 10 CR Jaciara 10</t>
    </r>
  </si>
  <si>
    <t>São Vicente - SEDE 30 CR Campo Verde 05 CR Jaciara 05</t>
  </si>
  <si>
    <r>
      <rPr>
        <sz val="10"/>
        <color rgb="FF08090C"/>
        <rFont val="Arial"/>
        <family val="2"/>
      </rPr>
      <t>Sabonete líquido, aspecto físico líquido perfumado,   acidez   neutro,   aplicação saboneteira   para   sabonetes   líquidos. Embalagem  de  5litros.  Liberado  pela ANVISA.</t>
    </r>
  </si>
  <si>
    <r>
      <rPr>
        <sz val="10"/>
        <color rgb="FF08090C"/>
        <rFont val="Arial"/>
        <family val="2"/>
      </rPr>
      <t>São Vicente - SEDE 08 CR Campo Verde 03 CR Jaciara 01</t>
    </r>
  </si>
  <si>
    <t>São Vicente - SEDE 04 CR Campo Verde 02 CR Jaciara 01</t>
  </si>
  <si>
    <r>
      <rPr>
        <sz val="10"/>
        <color rgb="FF08090C"/>
        <rFont val="Arial"/>
        <family val="2"/>
      </rPr>
      <t>Saco   plástico   lixo,   capacidade   100 litros,   largura   75cm,   altura   105cm, aplicação    coleta    de    lixo,    material plástico   biodegradável.   Pacote   com 100 unidades.</t>
    </r>
  </si>
  <si>
    <r>
      <rPr>
        <sz val="10"/>
        <color rgb="FF08090C"/>
        <rFont val="Arial"/>
        <family val="2"/>
      </rPr>
      <t>São Vicente - SEDE 06 CR Campo Verde 02 CR Jaciara 01</t>
    </r>
  </si>
  <si>
    <t>São Vicente - SEDE 02 CR Campo Verde 01 CR Jaciara 01</t>
  </si>
  <si>
    <r>
      <rPr>
        <sz val="10"/>
        <color rgb="FF08090C"/>
        <rFont val="Arial"/>
        <family val="2"/>
      </rPr>
      <t>Saco  plástico  para  lixo  15  litros,  Cor preta.   Dimensões:  39  cm   x   58  cm, podendo variar em + 5,0cm Resistente ao peso mínimo de 3 Kg. Cada pacote deverá conter 100 sacos.</t>
    </r>
  </si>
  <si>
    <r>
      <rPr>
        <sz val="10"/>
        <color rgb="FF08090C"/>
        <rFont val="Arial"/>
        <family val="2"/>
      </rPr>
      <t>Unid.</t>
    </r>
  </si>
  <si>
    <r>
      <rPr>
        <sz val="10"/>
        <color rgb="FF08090C"/>
        <rFont val="Arial"/>
        <family val="2"/>
      </rPr>
      <t>São Vicente - SEDE 10 CR Campo Verde 02 CR Jaciara 01</t>
    </r>
  </si>
  <si>
    <r>
      <rPr>
        <sz val="10"/>
        <color rgb="FF08090C"/>
        <rFont val="Arial"/>
        <family val="2"/>
      </rPr>
      <t>Saco  plástico  para  lixo  60  litros,  Cor preta.   Dimensões:  40  cm   x   60  cm, podendo variar em + 5,0cm Resistente ao peso mínimo de 5 Kg. Cada pacote deverá conter 100 sacos.</t>
    </r>
  </si>
  <si>
    <r>
      <rPr>
        <sz val="10"/>
        <color rgb="FF08090C"/>
        <rFont val="Arial"/>
        <family val="2"/>
      </rPr>
      <t>São Vicente - SEDE 05 CR Campo Verde 03 CR Jaciara 01</t>
    </r>
  </si>
  <si>
    <t>São Vicente - SEDE 03 CR Campo Verde 02 CR Jaciara 01</t>
  </si>
  <si>
    <r>
      <rPr>
        <sz val="10"/>
        <color rgb="FF08090C"/>
        <rFont val="Arial"/>
        <family val="2"/>
      </rPr>
      <t xml:space="preserve">Saco plástico para lixo, capacidade 150 litros,  cor  azul,  largura  90  cm,  altura
</t>
    </r>
    <r>
      <rPr>
        <sz val="10"/>
        <color rgb="FF08090C"/>
        <rFont val="Arial"/>
        <family val="2"/>
      </rPr>
      <t>105        cm,        espessura        mínima de0,10micras,      material      polietileno. Cada pacote deverá conter 100 sacos.</t>
    </r>
  </si>
  <si>
    <r>
      <rPr>
        <sz val="10"/>
        <color rgb="FF08090C"/>
        <rFont val="Arial"/>
        <family val="2"/>
      </rPr>
      <t xml:space="preserve">São  Vicente  -  SEDE  03 CR Campo Verde 03
</t>
    </r>
    <r>
      <rPr>
        <sz val="10"/>
        <color rgb="FF08090C"/>
        <rFont val="Arial"/>
        <family val="2"/>
      </rPr>
      <t>CR Jaciara 01</t>
    </r>
  </si>
  <si>
    <t>São  Vicente  -  SEDE  02 CR Campo Verde 02
CR Jaciara 01</t>
  </si>
  <si>
    <r>
      <rPr>
        <sz val="11"/>
        <color rgb="FF231F20"/>
        <rFont val="Arial"/>
        <family val="2"/>
      </rPr>
      <t xml:space="preserve">Toalha  de  papel  simples  interfolhada classe 01, quantidade de dobras 03, na cor  branca,  alvura  maior  que  85%, quantidade   de   pintas   menor   que 5mm2ƒm2, tempo de absorção de água menor que 6 segundos, capacidade de absorção  de  água  maior  que  5  gƒg, quantidade  de  furos  menor  que  10 mm2ƒm2, resistência à tração a úmido maior que 90 nƒm, conforme norma da ABNT     NBR     15464−7     e     15134,
</t>
    </r>
    <r>
      <rPr>
        <sz val="11"/>
        <color rgb="FF231F20"/>
        <rFont val="Arial"/>
        <family val="2"/>
      </rPr>
      <t>característica complementares: matéria prima 100% fibra vegetal, dimensão da folha  20x26cm,  em  pacotes,  formato liso, rotulagem identificação da classe, marca, quantidade de folhas, dimensão da  folha.  Pacotes  com  1250  folhas, divididos  em  maços  de  250  folhas. Apresentar  laudos  microbiológicos  e ficha  técnica  do  produto  atestando  a sua composição.  PAPEL 100% VIRGEM.</t>
    </r>
  </si>
  <si>
    <r>
      <rPr>
        <sz val="10"/>
        <color rgb="FF231F20"/>
        <rFont val="Arial"/>
        <family val="2"/>
      </rPr>
      <t>Fardo</t>
    </r>
  </si>
  <si>
    <r>
      <rPr>
        <sz val="10"/>
        <color rgb="FF231F20"/>
        <rFont val="Arial"/>
        <family val="2"/>
      </rPr>
      <t xml:space="preserve">São  Vicente  -  SEDE  10 CR Campo Verde 07
</t>
    </r>
    <r>
      <rPr>
        <sz val="10"/>
        <color rgb="FF231F20"/>
        <rFont val="Arial"/>
        <family val="2"/>
      </rPr>
      <t>CR Jaciara 03</t>
    </r>
  </si>
  <si>
    <t>São  Vicente  -  SEDE  05 CR Campo Verde 04
CR Jaciara 02</t>
  </si>
  <si>
    <r>
      <rPr>
        <sz val="10"/>
        <color rgb="FF08090C"/>
        <rFont val="Arial"/>
        <family val="2"/>
      </rPr>
      <t>Vassoura    material    cerdas    piaçava</t>
    </r>
  </si>
  <si>
    <r>
      <rPr>
        <sz val="10"/>
        <color rgb="FF08090C"/>
        <rFont val="Arial"/>
        <family val="2"/>
      </rPr>
      <t>São Vicente - SEDE 20</t>
    </r>
  </si>
  <si>
    <t>São Vicente - SEDE 10</t>
  </si>
  <si>
    <r>
      <rPr>
        <sz val="10"/>
        <color rgb="FF08090C"/>
        <rFont val="Arial"/>
        <family val="2"/>
      </rPr>
      <t>sintética,     material     cepa     madeira revestido    com    metal,    comprimento cepa   27,   cabo   plastificado:1,20   cm, cerdas 17 cm, largura da cepa 4 cm.</t>
    </r>
  </si>
  <si>
    <r>
      <rPr>
        <sz val="10"/>
        <color rgb="FF08090C"/>
        <rFont val="Arial"/>
        <family val="2"/>
      </rPr>
      <t>CR Campo Verde 06 CR Jaciara 05</t>
    </r>
  </si>
  <si>
    <t>CR Campo Verde 03 CR Jaciara 03</t>
  </si>
  <si>
    <r>
      <rPr>
        <sz val="10"/>
        <color rgb="FF08090C"/>
        <rFont val="Arial"/>
        <family val="2"/>
      </rPr>
      <t>Vassoura,     material     cerdas     palha, material   cepa   madeira,   comprimento cepa  15  cm,  características  adicionais com cabo madeira de 2 m, largura cepa 15 cm</t>
    </r>
  </si>
  <si>
    <r>
      <rPr>
        <sz val="10"/>
        <color rgb="FF08090C"/>
        <rFont val="Arial"/>
        <family val="2"/>
      </rPr>
      <t xml:space="preserve">São  Vicente  -  SEDE  15 CR Campo Verde 03
</t>
    </r>
    <r>
      <rPr>
        <sz val="10"/>
        <color rgb="FF08090C"/>
        <rFont val="Arial"/>
        <family val="2"/>
      </rPr>
      <t>CR Jaciara 02</t>
    </r>
  </si>
  <si>
    <t>São  Vicente  -  SEDE  08 CR Campo Verde 02
CR Jaciara 01</t>
  </si>
  <si>
    <r>
      <rPr>
        <sz val="10"/>
        <color rgb="FF08090C"/>
        <rFont val="Arial"/>
        <family val="2"/>
      </rPr>
      <t>Vassoura para uso doméstico</t>
    </r>
  </si>
  <si>
    <r>
      <rPr>
        <sz val="10"/>
        <color rgb="FF08090C"/>
        <rFont val="Arial"/>
        <family val="2"/>
      </rPr>
      <t xml:space="preserve">São  Vicente  -  SEDE  20 CR Campo Verde 05
</t>
    </r>
    <r>
      <rPr>
        <sz val="10"/>
        <color rgb="FF08090C"/>
        <rFont val="Arial"/>
        <family val="2"/>
      </rPr>
      <t>CR Jaciara 03</t>
    </r>
  </si>
  <si>
    <t>São  Vicente  -  SEDE  10 CR Campo Verde 03
CR Jaciara 02</t>
  </si>
  <si>
    <r>
      <rPr>
        <sz val="10"/>
        <color rgb="FF08090C"/>
        <rFont val="Arial"/>
        <family val="2"/>
      </rPr>
      <t>Rodo com cabo de madeira 60 cm</t>
    </r>
  </si>
  <si>
    <r>
      <rPr>
        <sz val="10"/>
        <color rgb="FF08090C"/>
        <rFont val="Arial"/>
        <family val="2"/>
      </rPr>
      <t>Rodo com cabo de madeira 50 cm</t>
    </r>
  </si>
  <si>
    <r>
      <rPr>
        <sz val="10"/>
        <color rgb="FF08090C"/>
        <rFont val="Arial"/>
        <family val="2"/>
      </rPr>
      <t>Rastelo  de  plástico  para  folhas  secas com cabo 60 cm</t>
    </r>
  </si>
  <si>
    <r>
      <rPr>
        <sz val="10"/>
        <color rgb="FF08090C"/>
        <rFont val="Arial"/>
        <family val="2"/>
      </rPr>
      <t>São Vicente - SEDE 03 CR Campo Verde 02 CR Jaciara --------</t>
    </r>
  </si>
  <si>
    <t>São Vicente - SEDE 02CR Campo Verde 01 CR Jaciara --------</t>
  </si>
  <si>
    <r>
      <rPr>
        <sz val="10"/>
        <color rgb="FF08090C"/>
        <rFont val="Arial"/>
        <family val="2"/>
      </rPr>
      <t>Vassoura de Gari com cabo</t>
    </r>
  </si>
  <si>
    <r>
      <rPr>
        <sz val="10"/>
        <color rgb="FF08090C"/>
        <rFont val="Arial"/>
        <family val="2"/>
      </rPr>
      <t xml:space="preserve">São  Vicente-  SEDE  04 CR Campo Verde ------
</t>
    </r>
    <r>
      <rPr>
        <sz val="10"/>
        <color rgb="FF08090C"/>
        <rFont val="Arial"/>
        <family val="2"/>
      </rPr>
      <t>CR Jaciara --------</t>
    </r>
  </si>
  <si>
    <t>São  Vicente-  SEDE  02 CR Campo Verde ------
CR Jaciara --------</t>
  </si>
  <si>
    <r>
      <rPr>
        <sz val="10"/>
        <color rgb="FF08090C"/>
        <rFont val="Arial"/>
        <family val="2"/>
      </rPr>
      <t>Carrinho de mão</t>
    </r>
  </si>
  <si>
    <r>
      <rPr>
        <sz val="10"/>
        <color rgb="FF08090C"/>
        <rFont val="Arial"/>
        <family val="2"/>
      </rPr>
      <t>São Vicente - SEDE 01 CR Campo Verde------ CR Jaciara------------</t>
    </r>
  </si>
  <si>
    <r>
      <rPr>
        <sz val="10"/>
        <color rgb="FF08090C"/>
        <rFont val="Arial"/>
        <family val="2"/>
      </rPr>
      <t>Anual</t>
    </r>
  </si>
  <si>
    <t>São Vicente - SEDE 01 CR Campo Verde------ CR Jaciara------------</t>
  </si>
  <si>
    <r>
      <rPr>
        <sz val="10"/>
        <color rgb="FF08090C"/>
        <rFont val="Arial"/>
        <family val="2"/>
      </rPr>
      <t>Dispenser para papel toalha</t>
    </r>
  </si>
  <si>
    <r>
      <rPr>
        <sz val="10"/>
        <color rgb="FF08090C"/>
        <rFont val="Arial"/>
        <family val="2"/>
      </rPr>
      <t>São Vicente - SEDE 45 CR Campo Verde 08 CR Jaciara 02</t>
    </r>
  </si>
  <si>
    <t>São Vicente - SEDE 23 CR Campo Verde 04 CR Jaciara 01</t>
  </si>
  <si>
    <r>
      <rPr>
        <sz val="10"/>
        <color rgb="FF08090C"/>
        <rFont val="Arial"/>
        <family val="2"/>
      </rPr>
      <t>Dispenser para sabonete líquido</t>
    </r>
  </si>
  <si>
    <r>
      <rPr>
        <sz val="10"/>
        <color rgb="FF08090C"/>
        <rFont val="Arial"/>
        <family val="2"/>
      </rPr>
      <t>São Vicente - SEDE 35 CR Campo Verde 08 CR Jaciara 02</t>
    </r>
  </si>
  <si>
    <t>São Vicente - SEDE 18 CR Campo Verde 04 CR Jaciara 01</t>
  </si>
  <si>
    <r>
      <rPr>
        <sz val="10"/>
        <color rgb="FF08090C"/>
        <rFont val="Arial"/>
        <family val="2"/>
      </rPr>
      <t>Espanador de fibra sintética</t>
    </r>
  </si>
  <si>
    <r>
      <rPr>
        <sz val="10"/>
        <color rgb="FF08090C"/>
        <rFont val="Arial"/>
        <family val="2"/>
      </rPr>
      <t>São Vicente - SEDE 04 CR Campo Verde 02 CR Jaciara 01</t>
    </r>
  </si>
  <si>
    <r>
      <rPr>
        <sz val="10"/>
        <color rgb="FF08090C"/>
        <rFont val="Arial"/>
        <family val="2"/>
      </rPr>
      <t>Limpador  multiuso  para  limpar  móveis e equipamentos (concentrado)</t>
    </r>
  </si>
  <si>
    <r>
      <rPr>
        <sz val="10"/>
        <color rgb="FF08090C"/>
        <rFont val="Arial"/>
        <family val="2"/>
      </rPr>
      <t>Litro</t>
    </r>
  </si>
  <si>
    <r>
      <rPr>
        <sz val="10"/>
        <color rgb="FF08090C"/>
        <rFont val="Arial"/>
        <family val="2"/>
      </rPr>
      <t xml:space="preserve">São Vicente  – SEDE 25 CR Campo Verde 06
</t>
    </r>
    <r>
      <rPr>
        <sz val="10"/>
        <color rgb="FF08090C"/>
        <rFont val="Arial"/>
        <family val="2"/>
      </rPr>
      <t>CR Jaciara 05</t>
    </r>
  </si>
  <si>
    <t>São Vicente  – SEDE 13 CR Campo Verde 03
CR Jaciara 03</t>
  </si>
  <si>
    <r>
      <rPr>
        <sz val="10"/>
        <color rgb="FF08090C"/>
        <rFont val="Arial"/>
        <family val="2"/>
      </rPr>
      <t>Mangueira  plástica  50m,  com  parede reforçada  com  esguicho  para  uso  em torneira de 1/2 e ¾</t>
    </r>
  </si>
  <si>
    <r>
      <rPr>
        <sz val="10"/>
        <color rgb="FF08090C"/>
        <rFont val="Arial"/>
        <family val="2"/>
      </rPr>
      <t>São Vicente - SEDE 03 CR Campo Verde 02 CR Jaciara 01</t>
    </r>
  </si>
  <si>
    <t>São Vicente - SEDE 02 CR Campo Verde 01CR Jaciara 01</t>
  </si>
  <si>
    <r>
      <rPr>
        <sz val="10"/>
        <color rgb="FF08090C"/>
        <rFont val="Arial"/>
        <family val="2"/>
      </rPr>
      <t>Placa   sinalizadora   em   plástico   para isolamento da área com piso molhado</t>
    </r>
  </si>
  <si>
    <r>
      <rPr>
        <sz val="10"/>
        <color rgb="FF08090C"/>
        <rFont val="Arial"/>
        <family val="2"/>
      </rPr>
      <t>São Vicente - SEDE 05 CR Campo Verde 04 CR Jaciara 01</t>
    </r>
  </si>
  <si>
    <r>
      <rPr>
        <sz val="10"/>
        <color rgb="FF08090C"/>
        <rFont val="Arial"/>
        <family val="2"/>
      </rPr>
      <t>Rodo especial para limpeza de vidros</t>
    </r>
  </si>
  <si>
    <r>
      <rPr>
        <sz val="10"/>
        <color rgb="FF08090C"/>
        <rFont val="Arial"/>
        <family val="2"/>
      </rPr>
      <t>São Vicente - SEDE --- CR Campo Verde 05 CR Jaciara 03</t>
    </r>
  </si>
  <si>
    <t>São Vicente - SEDE --- CR Campo Verde 03 CR Jaciara 02</t>
  </si>
  <si>
    <r>
      <rPr>
        <sz val="10"/>
        <color rgb="FF08090C"/>
        <rFont val="Arial"/>
        <family val="2"/>
      </rPr>
      <t>Saponáceo em pó frasco c/ 200g</t>
    </r>
  </si>
  <si>
    <r>
      <rPr>
        <sz val="10"/>
        <color rgb="FF08090C"/>
        <rFont val="Arial"/>
        <family val="2"/>
      </rPr>
      <t>Frasco</t>
    </r>
  </si>
  <si>
    <r>
      <rPr>
        <sz val="10"/>
        <color rgb="FF08090C"/>
        <rFont val="Arial"/>
        <family val="2"/>
      </rPr>
      <t>São Vicente- SEDE 20</t>
    </r>
  </si>
  <si>
    <t>São Vicente- SEDE 10</t>
  </si>
  <si>
    <r>
      <rPr>
        <sz val="10"/>
        <color rgb="FF08090C"/>
        <rFont val="Arial"/>
        <family val="2"/>
      </rPr>
      <t>CR Campo Verde 08 CR Jaciara 05</t>
    </r>
  </si>
  <si>
    <t>CR Campo Verde 04 CR Jaciara 03</t>
  </si>
  <si>
    <r>
      <rPr>
        <sz val="10"/>
        <color rgb="FF08090C"/>
        <rFont val="Arial"/>
        <family val="2"/>
      </rPr>
      <t>Solução de limpeza para vidros</t>
    </r>
  </si>
  <si>
    <r>
      <rPr>
        <sz val="10"/>
        <color rgb="FF08090C"/>
        <rFont val="Arial"/>
        <family val="2"/>
      </rPr>
      <t xml:space="preserve">São  Vicente  -  SEDE  30 CR Campo Verde 05
</t>
    </r>
    <r>
      <rPr>
        <sz val="10"/>
        <color rgb="FF08090C"/>
        <rFont val="Arial"/>
        <family val="2"/>
      </rPr>
      <t>CR Jaciara 03</t>
    </r>
  </si>
  <si>
    <t>São  Vicente  -  SEDE  15 CR Campo Verde 03
CR Jaciara 02</t>
  </si>
  <si>
    <r>
      <rPr>
        <sz val="10"/>
        <color rgb="FF08090C"/>
        <rFont val="Arial"/>
        <family val="2"/>
      </rPr>
      <t>Cera liquida Vermelha</t>
    </r>
  </si>
  <si>
    <r>
      <rPr>
        <sz val="10"/>
        <color rgb="FF08090C"/>
        <rFont val="Arial"/>
        <family val="2"/>
      </rPr>
      <t>São  Vicente  -  SEDE  10 CR Campo Verde ----  CR Jaciara ------------</t>
    </r>
  </si>
  <si>
    <t>São  Vicente  -  SEDE  05 CR Campo Verde ----  CR Jaciara ------------</t>
  </si>
  <si>
    <r>
      <rPr>
        <sz val="10"/>
        <color rgb="FF08090C"/>
        <rFont val="Arial"/>
        <family val="2"/>
      </rPr>
      <t>Fibra preta para máquina de lavar</t>
    </r>
  </si>
  <si>
    <r>
      <rPr>
        <sz val="10"/>
        <color rgb="FF08090C"/>
        <rFont val="Arial"/>
        <family val="2"/>
      </rPr>
      <t xml:space="preserve">São Vicente  – SEDE 10 CR Campo Verde 03
</t>
    </r>
    <r>
      <rPr>
        <sz val="10"/>
        <color rgb="FF08090C"/>
        <rFont val="Arial"/>
        <family val="2"/>
      </rPr>
      <t>CR Jaciara 01</t>
    </r>
  </si>
  <si>
    <t>São Vicente  – SEDE 05 CR Campo Verde 02
CR Jaciara 01</t>
  </si>
  <si>
    <r>
      <rPr>
        <sz val="10"/>
        <color rgb="FF08090C"/>
        <rFont val="Arial"/>
        <family val="2"/>
      </rPr>
      <t>Fibra    amarela    para    máquina    de polimento piso</t>
    </r>
  </si>
  <si>
    <r>
      <rPr>
        <sz val="10"/>
        <color rgb="FF08090C"/>
        <rFont val="Arial"/>
        <family val="2"/>
      </rPr>
      <t xml:space="preserve">São  Vicente  -  SEDE  05 CR Campo Verde 03
</t>
    </r>
    <r>
      <rPr>
        <sz val="10"/>
        <color rgb="FF08090C"/>
        <rFont val="Arial"/>
        <family val="2"/>
      </rPr>
      <t>CR Jaciara 01</t>
    </r>
  </si>
  <si>
    <t>São  Vicente  -  SEDE  03 CR Campo Verde 02
CR Jaciara 01</t>
  </si>
  <si>
    <r>
      <rPr>
        <sz val="10"/>
        <color rgb="FF08090C"/>
        <rFont val="Arial"/>
        <family val="2"/>
      </rPr>
      <t>Lustra Móvel</t>
    </r>
  </si>
  <si>
    <r>
      <rPr>
        <sz val="10"/>
        <color rgb="FF08090C"/>
        <rFont val="Arial"/>
        <family val="2"/>
      </rPr>
      <t xml:space="preserve">São  Vicente  –  SEDE  --- CR Campo Verde 04
</t>
    </r>
    <r>
      <rPr>
        <sz val="10"/>
        <color rgb="FF08090C"/>
        <rFont val="Arial"/>
        <family val="2"/>
      </rPr>
      <t>CR Jaciara 01</t>
    </r>
  </si>
  <si>
    <t>São  Vicente  –  SEDE  --- CR Campo Verde 02
CR Jaciara 01</t>
  </si>
  <si>
    <r>
      <rPr>
        <sz val="10"/>
        <color rgb="FF08090C"/>
        <rFont val="Arial"/>
        <family val="2"/>
      </rPr>
      <t>Lavadora de Alta pressão Industrial</t>
    </r>
  </si>
  <si>
    <r>
      <rPr>
        <sz val="10"/>
        <color rgb="FF08090C"/>
        <rFont val="Arial"/>
        <family val="2"/>
      </rPr>
      <t>São Vicente - SEDE 02 CR Campo Verde 02 CR Jaciara 01</t>
    </r>
  </si>
  <si>
    <t>São Vicente - SEDE 01 CR Campo Verde 01 CR Jaciara 01</t>
  </si>
  <si>
    <r>
      <rPr>
        <sz val="10"/>
        <color rgb="FF08090C"/>
        <rFont val="Arial"/>
        <family val="2"/>
      </rPr>
      <t>Enceradeira Industrial</t>
    </r>
  </si>
  <si>
    <r>
      <rPr>
        <sz val="10"/>
        <color rgb="FF08090C"/>
        <rFont val="Arial"/>
        <family val="2"/>
      </rPr>
      <t>São Vicente – SEDE  03 CR Campo Verde 02 CR Jaciara 01</t>
    </r>
  </si>
  <si>
    <t>São Vicente – SEDE  02CR Campo Verde 01 CR Jaciara 01</t>
  </si>
  <si>
    <r>
      <rPr>
        <sz val="10"/>
        <color rgb="FF231F20"/>
        <rFont val="Arial"/>
        <family val="2"/>
      </rPr>
      <t>Aspirador de pó</t>
    </r>
  </si>
  <si>
    <r>
      <rPr>
        <sz val="10"/>
        <color rgb="FF08090C"/>
        <rFont val="Arial"/>
        <family val="2"/>
      </rPr>
      <t xml:space="preserve">São  Vicente  -  SEDE  01 CR Campo Verde 01
</t>
    </r>
    <r>
      <rPr>
        <sz val="10"/>
        <color rgb="FF08090C"/>
        <rFont val="Arial"/>
        <family val="2"/>
      </rPr>
      <t>CR Jaciara 01</t>
    </r>
  </si>
  <si>
    <r>
      <rPr>
        <sz val="10"/>
        <color rgb="FF231F20"/>
        <rFont val="Arial"/>
        <family val="2"/>
      </rPr>
      <t>Anual</t>
    </r>
  </si>
  <si>
    <r>
      <rPr>
        <sz val="10"/>
        <color rgb="FFFF0000"/>
        <rFont val="Arial"/>
        <family val="2"/>
      </rPr>
      <t>São  Vicente  -  SEDE  01 CR Campo Verde 01
CR Jaciara 01</t>
    </r>
  </si>
  <si>
    <r>
      <rPr>
        <sz val="10"/>
        <color rgb="FF231F20"/>
        <rFont val="Arial"/>
        <family val="2"/>
      </rPr>
      <t>Ponto Eletrônico</t>
    </r>
  </si>
  <si>
    <r>
      <rPr>
        <sz val="10"/>
        <color rgb="FF231F20"/>
        <rFont val="Arial"/>
        <family val="2"/>
      </rPr>
      <t>Lixeiros    Telados    sem    tampa    com capacidade de 10 litros</t>
    </r>
  </si>
  <si>
    <r>
      <rPr>
        <sz val="10"/>
        <color rgb="FF08090C"/>
        <rFont val="Arial"/>
        <family val="2"/>
      </rPr>
      <t xml:space="preserve">São Vicente - SEDE 200 CR Campo Verde 40
</t>
    </r>
    <r>
      <rPr>
        <sz val="10"/>
        <color rgb="FF08090C"/>
        <rFont val="Arial"/>
        <family val="2"/>
      </rPr>
      <t>CR Jaciara 20</t>
    </r>
  </si>
  <si>
    <r>
      <rPr>
        <sz val="10"/>
        <color rgb="FFFF0000"/>
        <rFont val="Arial"/>
        <family val="2"/>
      </rPr>
      <t>São Vicente - SEDE 200 CR Campo Verde 40
CR Jaciara 20</t>
    </r>
  </si>
  <si>
    <r>
      <rPr>
        <sz val="10"/>
        <color rgb="FF231F20"/>
        <rFont val="Arial"/>
        <family val="2"/>
      </rPr>
      <t>Lixeira     coleta     seletiva     com     três divisórias      em      plástico      MIX      3, capacidade de 60 litros</t>
    </r>
  </si>
  <si>
    <r>
      <rPr>
        <sz val="10"/>
        <color rgb="FF08090C"/>
        <rFont val="Arial"/>
        <family val="2"/>
      </rPr>
      <t>São Vicente - SEDE 20 CR Campo Verde 05 CR Jaciara 05</t>
    </r>
  </si>
  <si>
    <r>
      <rPr>
        <sz val="10"/>
        <color rgb="FF231F20"/>
        <rFont val="Arial"/>
        <family val="2"/>
      </rPr>
      <t>Carrinho   container   ou   Lixeira   para Coleta       Seletiva,       com       rodinha, capacidade de 100 litros</t>
    </r>
  </si>
  <si>
    <r>
      <rPr>
        <sz val="10"/>
        <color rgb="FF08090C"/>
        <rFont val="Arial"/>
        <family val="2"/>
      </rPr>
      <t>São Vicente – SEDE 03 CR Campo Verde 01 CR Jaciara 01</t>
    </r>
  </si>
  <si>
    <t>São Vicente – SEDE 02 CR Campo Verde 01 CR Jaciara 01</t>
  </si>
  <si>
    <r>
      <rPr>
        <sz val="10"/>
        <color rgb="FF231F20"/>
        <rFont val="Arial"/>
        <family val="2"/>
      </rPr>
      <t>Escada               dobrável,               com aproximadamente  2  metros  de  altura, de ferro, com no mínimo 7 degraus.</t>
    </r>
  </si>
  <si>
    <r>
      <rPr>
        <sz val="10"/>
        <color rgb="FF08090C"/>
        <rFont val="Arial"/>
        <family val="2"/>
      </rPr>
      <t>São Vicente - SEDE 02 CR Campo Verde 01 CR Jaciara 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</si>
</sst>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R$&quot;\ * #,##0.00_-;\-&quot;R$&quot;\ * #,##0.00_-;_-&quot;R$&quot;\ * &quot;-&quot;??_-;_-@_-"/>
    <numFmt numFmtId="43" formatCode="_-* #,##0.00_-;\-* #,##0.00_-;_-* &quot;-&quot;??_-;_-@_-"/>
    <numFmt numFmtId="164" formatCode="_(&quot;R$ &quot;* #,##0.00_);_(&quot;R$ &quot;* \(#,##0.00\);_(&quot;R$ &quot;* &quot;-&quot;??_);_(@_)"/>
    <numFmt numFmtId="165" formatCode="&quot;R$ &quot;#,##0.00"/>
    <numFmt numFmtId="166" formatCode="&quot;R$&quot;\ #,##0.00"/>
    <numFmt numFmtId="167" formatCode="_(* #,##0.00000_);_(* \(#,##0.00000\);_(* &quot;-&quot;??_);_(@_)"/>
    <numFmt numFmtId="168" formatCode="0.000%"/>
    <numFmt numFmtId="169" formatCode="0.0000000"/>
    <numFmt numFmtId="170" formatCode="#,##0\ &quot;m²&quot;"/>
    <numFmt numFmtId="171" formatCode="0.000"/>
    <numFmt numFmtId="172" formatCode="_-* #,##0_-;\-* #,##0_-;_-* &quot;-&quot;??_-;_-@_-"/>
    <numFmt numFmtId="173" formatCode="\=\ \(\ ##* 00%\)\ #####"/>
    <numFmt numFmtId="174" formatCode="#,##0.0"/>
    <numFmt numFmtId="175" formatCode="0.00000"/>
    <numFmt numFmtId="176" formatCode="#,##0.00\ &quot;m²&quot;"/>
    <numFmt numFmtId="177" formatCode="#,##0.000\ &quot;m²&quot;"/>
    <numFmt numFmtId="178" formatCode="#,##0.00;[Red]#,##0.00"/>
    <numFmt numFmtId="179" formatCode="#,##0.0000"/>
    <numFmt numFmtId="180" formatCode="&quot;R$&quot;\ #,##0.000"/>
    <numFmt numFmtId="181" formatCode="#,##0.000000"/>
    <numFmt numFmtId="182" formatCode="[$R$-416]\ #,##0.00;[Red]\-[$R$-416]\ #,##0.00"/>
    <numFmt numFmtId="183" formatCode="mm/yy"/>
    <numFmt numFmtId="184" formatCode="[$R$-416]\ #,##0.00;[Red][$R$-416]\ #,##0.00"/>
  </numFmts>
  <fonts count="7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sz val="8"/>
      <color theme="0"/>
      <name val="Calibri"/>
      <family val="2"/>
      <scheme val="minor"/>
    </font>
    <font>
      <b/>
      <sz val="9"/>
      <color theme="1"/>
      <name val="Calibri"/>
      <family val="2"/>
      <scheme val="minor"/>
    </font>
    <font>
      <b/>
      <i/>
      <sz val="10"/>
      <color theme="1"/>
      <name val="Calibri"/>
      <family val="2"/>
      <scheme val="minor"/>
    </font>
    <font>
      <b/>
      <sz val="12"/>
      <color theme="1"/>
      <name val="Calibri"/>
      <family val="2"/>
      <scheme val="minor"/>
    </font>
    <font>
      <u/>
      <sz val="11"/>
      <color theme="1"/>
      <name val="Calibri"/>
      <family val="2"/>
      <scheme val="minor"/>
    </font>
    <font>
      <b/>
      <sz val="11"/>
      <name val="Calibri"/>
      <family val="2"/>
      <scheme val="minor"/>
    </font>
    <font>
      <sz val="10"/>
      <name val="Arial"/>
      <family val="2"/>
    </font>
    <font>
      <b/>
      <sz val="10"/>
      <name val="Times New Roman"/>
      <family val="1"/>
    </font>
    <font>
      <sz val="10"/>
      <name val="Times New Roman"/>
      <family val="1"/>
    </font>
    <font>
      <i/>
      <sz val="10"/>
      <name val="Times New Roman"/>
      <family val="1"/>
    </font>
    <font>
      <sz val="11"/>
      <color theme="1"/>
      <name val="Times New Roman"/>
      <family val="1"/>
    </font>
    <font>
      <b/>
      <sz val="18"/>
      <color theme="1"/>
      <name val="Calibri"/>
      <family val="2"/>
      <scheme val="minor"/>
    </font>
    <font>
      <sz val="9"/>
      <color theme="1"/>
      <name val="Calibri"/>
      <family val="2"/>
      <scheme val="minor"/>
    </font>
    <font>
      <sz val="9"/>
      <color indexed="81"/>
      <name val="Tahoma"/>
      <family val="2"/>
    </font>
    <font>
      <b/>
      <sz val="12"/>
      <name val="Times New Roman"/>
      <family val="1"/>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14"/>
      <color rgb="FFFF0000"/>
      <name val="Calibri"/>
      <family val="2"/>
      <scheme val="minor"/>
    </font>
    <font>
      <b/>
      <sz val="12"/>
      <name val="Calibri"/>
      <family val="2"/>
      <scheme val="minor"/>
    </font>
    <font>
      <b/>
      <sz val="10"/>
      <name val="Calibri"/>
      <family val="2"/>
      <scheme val="minor"/>
    </font>
    <font>
      <sz val="10"/>
      <name val="Calibri"/>
      <family val="2"/>
      <scheme val="minor"/>
    </font>
    <font>
      <b/>
      <sz val="10"/>
      <color indexed="8"/>
      <name val="Calibri"/>
      <family val="2"/>
      <scheme val="minor"/>
    </font>
    <font>
      <sz val="12"/>
      <name val="Calibri"/>
      <family val="2"/>
      <scheme val="minor"/>
    </font>
    <font>
      <b/>
      <sz val="12"/>
      <color indexed="8"/>
      <name val="Calibri"/>
      <family val="2"/>
      <scheme val="minor"/>
    </font>
    <font>
      <b/>
      <sz val="14"/>
      <name val="Verdana"/>
      <family val="2"/>
    </font>
    <font>
      <sz val="9"/>
      <name val="Arial"/>
      <family val="2"/>
    </font>
    <font>
      <b/>
      <sz val="9"/>
      <name val="Arial"/>
      <family val="2"/>
    </font>
    <font>
      <vertAlign val="superscript"/>
      <sz val="9"/>
      <name val="Arial"/>
      <family val="2"/>
    </font>
    <font>
      <sz val="9"/>
      <name val="Verdana"/>
      <family val="2"/>
    </font>
    <font>
      <sz val="10"/>
      <color rgb="FF00000A"/>
      <name val="Arial"/>
      <family val="1"/>
      <charset val="1"/>
    </font>
    <font>
      <b/>
      <sz val="10"/>
      <color rgb="FFFF0000"/>
      <name val="Calibri"/>
      <family val="2"/>
      <scheme val="minor"/>
    </font>
    <font>
      <i/>
      <sz val="11"/>
      <color rgb="FF7F7F7F"/>
      <name val="Calibri"/>
      <family val="2"/>
      <scheme val="minor"/>
    </font>
    <font>
      <sz val="8"/>
      <color rgb="FF000000"/>
      <name val="Segoe UI"/>
      <family val="2"/>
    </font>
    <font>
      <b/>
      <sz val="10"/>
      <color rgb="FF000000"/>
      <name val="Arial"/>
      <family val="2"/>
      <charset val="1"/>
    </font>
    <font>
      <sz val="10"/>
      <color rgb="FF000000"/>
      <name val="Century Gothic"/>
      <family val="2"/>
      <charset val="1"/>
    </font>
    <font>
      <b/>
      <sz val="10"/>
      <color rgb="FF0084D1"/>
      <name val="Arial"/>
      <family val="2"/>
      <charset val="1"/>
    </font>
    <font>
      <sz val="10"/>
      <color rgb="FF000000"/>
      <name val="Arial"/>
      <family val="2"/>
    </font>
    <font>
      <b/>
      <sz val="10"/>
      <name val="Arial"/>
      <family val="2"/>
      <charset val="1"/>
    </font>
    <font>
      <sz val="10"/>
      <color rgb="FF00B0F0"/>
      <name val="Arial"/>
      <family val="2"/>
      <charset val="1"/>
    </font>
    <font>
      <vertAlign val="superscript"/>
      <sz val="10"/>
      <color rgb="FF000000"/>
      <name val="Century Gothic"/>
      <family val="2"/>
      <charset val="1"/>
    </font>
    <font>
      <b/>
      <sz val="10"/>
      <color rgb="FF000000"/>
      <name val="Arial"/>
      <family val="2"/>
    </font>
    <font>
      <i/>
      <sz val="10"/>
      <color rgb="FF000000"/>
      <name val="Arial"/>
      <family val="2"/>
      <charset val="1"/>
    </font>
    <font>
      <b/>
      <u/>
      <sz val="10"/>
      <color rgb="FF000000"/>
      <name val="Arial"/>
      <family val="2"/>
      <charset val="1"/>
    </font>
    <font>
      <sz val="10"/>
      <color rgb="FF000000"/>
      <name val="Arial"/>
      <family val="2"/>
      <charset val="1"/>
    </font>
    <font>
      <i/>
      <sz val="10"/>
      <color rgb="FF0084D1"/>
      <name val="Arial"/>
      <family val="2"/>
      <charset val="1"/>
    </font>
    <font>
      <sz val="10"/>
      <color theme="2" tint="-0.499984740745262"/>
      <name val="Arial"/>
      <family val="2"/>
      <charset val="1"/>
    </font>
    <font>
      <vertAlign val="superscript"/>
      <sz val="10"/>
      <color rgb="FF000000"/>
      <name val="Arial"/>
      <family val="2"/>
      <charset val="1"/>
    </font>
    <font>
      <b/>
      <sz val="9"/>
      <color rgb="FF000000"/>
      <name val="Arial"/>
      <family val="2"/>
      <charset val="1"/>
    </font>
    <font>
      <sz val="9"/>
      <color rgb="FF000000"/>
      <name val="Arial"/>
      <family val="2"/>
      <charset val="1"/>
    </font>
    <font>
      <sz val="10"/>
      <color rgb="FFFF0000"/>
      <name val="Arial"/>
      <family val="2"/>
      <charset val="1"/>
    </font>
    <font>
      <sz val="11"/>
      <color rgb="FF9C0006"/>
      <name val="Calibri"/>
      <family val="2"/>
      <scheme val="minor"/>
    </font>
    <font>
      <sz val="11"/>
      <color rgb="FF9C6500"/>
      <name val="Calibri"/>
      <family val="2"/>
      <scheme val="minor"/>
    </font>
    <font>
      <b/>
      <sz val="11"/>
      <color rgb="FFFA7D00"/>
      <name val="Calibri"/>
      <family val="2"/>
      <scheme val="minor"/>
    </font>
    <font>
      <sz val="11"/>
      <color rgb="FFFF0000"/>
      <name val="Calibri"/>
      <family val="2"/>
      <scheme val="minor"/>
    </font>
    <font>
      <b/>
      <sz val="10"/>
      <name val="Arial"/>
      <family val="2"/>
    </font>
    <font>
      <b/>
      <sz val="10"/>
      <color rgb="FF231F20"/>
      <name val="Arial"/>
      <family val="2"/>
    </font>
    <font>
      <sz val="10"/>
      <color rgb="FF231F20"/>
      <name val="Arial"/>
      <family val="2"/>
    </font>
    <font>
      <sz val="10"/>
      <color rgb="FF08090C"/>
      <name val="Arial"/>
      <family val="2"/>
    </font>
    <font>
      <sz val="10"/>
      <color rgb="FFFF0000"/>
      <name val="Arial"/>
      <family val="2"/>
    </font>
    <font>
      <b/>
      <sz val="16"/>
      <color theme="1"/>
      <name val="Calibri"/>
      <family val="2"/>
      <scheme val="minor"/>
    </font>
    <font>
      <sz val="11"/>
      <color rgb="FF08090C"/>
      <name val="Arial"/>
      <family val="2"/>
    </font>
    <font>
      <sz val="11"/>
      <color rgb="FF231F20"/>
      <name val="Arial"/>
      <family val="2"/>
    </font>
    <font>
      <b/>
      <sz val="14"/>
      <name val="Arial"/>
      <family val="2"/>
    </font>
    <font>
      <sz val="14"/>
      <name val="Arial"/>
      <family val="2"/>
    </font>
  </fonts>
  <fills count="4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C0C0C0"/>
        <bgColor indexed="64"/>
      </patternFill>
    </fill>
    <fill>
      <patternFill patternType="solid">
        <fgColor theme="0" tint="-0.24994659260841701"/>
        <bgColor indexed="64"/>
      </patternFill>
    </fill>
    <fill>
      <patternFill patternType="solid">
        <fgColor rgb="FF00B050"/>
        <bgColor indexed="64"/>
      </patternFill>
    </fill>
    <fill>
      <patternFill patternType="solid">
        <fgColor rgb="FF00B0F0"/>
        <bgColor indexed="64"/>
      </patternFill>
    </fill>
    <fill>
      <patternFill patternType="solid">
        <fgColor theme="0" tint="-0.499984740745262"/>
        <bgColor indexed="64"/>
      </patternFill>
    </fill>
    <fill>
      <patternFill patternType="solid">
        <fgColor indexed="22"/>
        <bgColor indexed="64"/>
      </patternFill>
    </fill>
    <fill>
      <patternFill patternType="solid">
        <fgColor indexed="9"/>
        <bgColor indexed="64"/>
      </patternFill>
    </fill>
    <fill>
      <patternFill patternType="solid">
        <fgColor indexed="43"/>
        <bgColor indexed="26"/>
      </patternFill>
    </fill>
    <fill>
      <patternFill patternType="solid">
        <fgColor indexed="27"/>
        <bgColor indexed="42"/>
      </patternFill>
    </fill>
    <fill>
      <patternFill patternType="solid">
        <fgColor theme="0" tint="-4.9989318521683403E-2"/>
        <bgColor indexed="64"/>
      </patternFill>
    </fill>
    <fill>
      <patternFill patternType="solid">
        <fgColor theme="2"/>
        <bgColor indexed="64"/>
      </patternFill>
    </fill>
    <fill>
      <patternFill patternType="solid">
        <fgColor theme="2"/>
        <bgColor indexed="26"/>
      </patternFill>
    </fill>
    <fill>
      <patternFill patternType="solid">
        <fgColor rgb="FFFFFF00"/>
        <bgColor indexed="26"/>
      </patternFill>
    </fill>
    <fill>
      <patternFill patternType="solid">
        <fgColor rgb="FFFFC000"/>
        <bgColor indexed="64"/>
      </patternFill>
    </fill>
    <fill>
      <patternFill patternType="solid">
        <fgColor theme="2" tint="-9.9978637043366805E-2"/>
        <bgColor indexed="64"/>
      </patternFill>
    </fill>
    <fill>
      <patternFill patternType="solid">
        <fgColor indexed="44"/>
        <bgColor indexed="64"/>
      </patternFill>
    </fill>
    <fill>
      <patternFill patternType="solid">
        <fgColor theme="0"/>
        <bgColor indexed="26"/>
      </patternFill>
    </fill>
    <fill>
      <patternFill patternType="solid">
        <fgColor rgb="FFFFFFFF"/>
        <bgColor rgb="FFFFFFCC"/>
      </patternFill>
    </fill>
    <fill>
      <patternFill patternType="solid">
        <fgColor rgb="FFCCFFFF"/>
        <bgColor rgb="FFCCFFFF"/>
      </patternFill>
    </fill>
    <fill>
      <patternFill patternType="solid">
        <fgColor theme="0"/>
        <bgColor rgb="FFCCFFFF"/>
      </patternFill>
    </fill>
    <fill>
      <patternFill patternType="solid">
        <fgColor rgb="FFFFFFFF"/>
        <bgColor rgb="FFE7E6E6"/>
      </patternFill>
    </fill>
    <fill>
      <patternFill patternType="solid">
        <fgColor theme="0"/>
        <bgColor rgb="FFE7E6E6"/>
      </patternFill>
    </fill>
    <fill>
      <patternFill patternType="solid">
        <fgColor rgb="FFFFFFFF"/>
        <bgColor rgb="FFFFFF00"/>
      </patternFill>
    </fill>
    <fill>
      <patternFill patternType="solid">
        <fgColor theme="8" tint="0.39997558519241921"/>
        <bgColor rgb="FFCCFFFF"/>
      </patternFill>
    </fill>
    <fill>
      <patternFill patternType="solid">
        <fgColor rgb="FF00B050"/>
        <bgColor rgb="FF008080"/>
      </patternFill>
    </fill>
    <fill>
      <patternFill patternType="solid">
        <fgColor rgb="FFFFFF00"/>
        <bgColor rgb="FFFFFF00"/>
      </patternFill>
    </fill>
    <fill>
      <patternFill patternType="solid">
        <fgColor rgb="FFFFC000"/>
        <bgColor rgb="FFCCFFFF"/>
      </patternFill>
    </fill>
    <fill>
      <patternFill patternType="solid">
        <fgColor rgb="FFFFC7CE"/>
      </patternFill>
    </fill>
    <fill>
      <patternFill patternType="solid">
        <fgColor rgb="FFFFEB9C"/>
      </patternFill>
    </fill>
    <fill>
      <patternFill patternType="solid">
        <fgColor rgb="FFF2F2F2"/>
      </patternFill>
    </fill>
    <fill>
      <patternFill patternType="solid">
        <fgColor theme="4" tint="0.79998168889431442"/>
        <bgColor indexed="65"/>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hair">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hair">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ck">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020303"/>
      </left>
      <right style="thin">
        <color rgb="FF020303"/>
      </right>
      <top/>
      <bottom style="thin">
        <color rgb="FF020303"/>
      </bottom>
      <diagonal/>
    </border>
    <border>
      <left style="thin">
        <color rgb="FF020303"/>
      </left>
      <right/>
      <top/>
      <bottom style="thin">
        <color rgb="FF020303"/>
      </bottom>
      <diagonal/>
    </border>
    <border>
      <left/>
      <right style="thin">
        <color rgb="FF020303"/>
      </right>
      <top/>
      <bottom style="thin">
        <color rgb="FF020303"/>
      </bottom>
      <diagonal/>
    </border>
    <border>
      <left style="thin">
        <color rgb="FF020303"/>
      </left>
      <right style="thin">
        <color rgb="FF020303"/>
      </right>
      <top style="thin">
        <color rgb="FF020303"/>
      </top>
      <bottom style="thin">
        <color rgb="FF020303"/>
      </bottom>
      <diagonal/>
    </border>
    <border>
      <left style="thin">
        <color rgb="FF020303"/>
      </left>
      <right/>
      <top style="thin">
        <color rgb="FF020303"/>
      </top>
      <bottom style="thin">
        <color rgb="FF020303"/>
      </bottom>
      <diagonal/>
    </border>
    <border>
      <left/>
      <right style="thin">
        <color rgb="FF020303"/>
      </right>
      <top style="thin">
        <color rgb="FF020303"/>
      </top>
      <bottom style="thin">
        <color rgb="FF020303"/>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3" fillId="0" borderId="0"/>
    <xf numFmtId="0" fontId="40" fillId="0" borderId="0" applyNumberFormat="0" applyFill="0" applyBorder="0" applyAlignment="0" applyProtection="0"/>
    <xf numFmtId="0" fontId="59" fillId="34" borderId="0" applyNumberFormat="0" applyBorder="0" applyAlignment="0" applyProtection="0"/>
    <xf numFmtId="0" fontId="60" fillId="35" borderId="0" applyNumberFormat="0" applyBorder="0" applyAlignment="0" applyProtection="0"/>
    <xf numFmtId="0" fontId="61" fillId="36" borderId="48" applyNumberFormat="0" applyAlignment="0" applyProtection="0"/>
    <xf numFmtId="0" fontId="1" fillId="37" borderId="0" applyNumberFormat="0" applyBorder="0" applyAlignment="0" applyProtection="0"/>
  </cellStyleXfs>
  <cellXfs count="701">
    <xf numFmtId="0" fontId="0" fillId="0" borderId="0" xfId="0"/>
    <xf numFmtId="0" fontId="5"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3" fillId="0" borderId="0" xfId="0" applyFont="1" applyAlignment="1">
      <alignment vertical="center" wrapText="1"/>
    </xf>
    <xf numFmtId="2" fontId="4" fillId="0" borderId="0" xfId="0" applyNumberFormat="1" applyFont="1" applyAlignment="1">
      <alignment horizontal="left" vertical="center"/>
    </xf>
    <xf numFmtId="0" fontId="6" fillId="0" borderId="0" xfId="0" applyFont="1" applyAlignment="1">
      <alignment horizontal="left" vertical="center"/>
    </xf>
    <xf numFmtId="10" fontId="4" fillId="0" borderId="0" xfId="3" applyNumberFormat="1" applyFont="1" applyAlignment="1">
      <alignment horizontal="left" vertical="center"/>
    </xf>
    <xf numFmtId="43" fontId="4" fillId="0" borderId="0" xfId="0" applyNumberFormat="1" applyFont="1" applyAlignment="1">
      <alignment vertical="center"/>
    </xf>
    <xf numFmtId="4" fontId="4" fillId="0" borderId="0" xfId="1" applyNumberFormat="1" applyFont="1" applyAlignment="1">
      <alignment horizontal="left" vertical="center"/>
    </xf>
    <xf numFmtId="167" fontId="4" fillId="0" borderId="0" xfId="1" applyNumberFormat="1" applyFont="1" applyAlignment="1">
      <alignment horizontal="left" vertical="center"/>
    </xf>
    <xf numFmtId="10" fontId="4" fillId="0" borderId="0" xfId="0" applyNumberFormat="1" applyFont="1" applyAlignment="1">
      <alignment vertical="center"/>
    </xf>
    <xf numFmtId="43" fontId="4" fillId="0" borderId="0" xfId="1" applyFont="1" applyAlignment="1">
      <alignment horizontal="left" vertical="center"/>
    </xf>
    <xf numFmtId="10" fontId="4" fillId="0" borderId="0" xfId="3" applyNumberFormat="1" applyFont="1" applyAlignment="1">
      <alignment vertical="center"/>
    </xf>
    <xf numFmtId="0" fontId="4" fillId="0" borderId="0" xfId="1" applyNumberFormat="1" applyFont="1" applyAlignment="1">
      <alignment horizontal="left" vertical="center"/>
    </xf>
    <xf numFmtId="0" fontId="6" fillId="5" borderId="0" xfId="0" applyFont="1" applyFill="1" applyBorder="1" applyAlignment="1">
      <alignment horizontal="left" vertical="center"/>
    </xf>
    <xf numFmtId="165" fontId="4" fillId="5" borderId="0" xfId="0" applyNumberFormat="1" applyFont="1" applyFill="1" applyBorder="1" applyAlignment="1">
      <alignment horizontal="left" vertical="center"/>
    </xf>
    <xf numFmtId="0" fontId="4" fillId="0" borderId="0" xfId="0" applyFont="1" applyBorder="1" applyAlignment="1">
      <alignment horizontal="left" vertical="center"/>
    </xf>
    <xf numFmtId="43" fontId="7" fillId="0" borderId="0" xfId="0" applyNumberFormat="1" applyFont="1" applyBorder="1" applyAlignment="1">
      <alignment horizontal="left" vertical="center"/>
    </xf>
    <xf numFmtId="44" fontId="5" fillId="0" borderId="0" xfId="2" applyFont="1" applyAlignment="1">
      <alignment vertical="center"/>
    </xf>
    <xf numFmtId="0" fontId="0" fillId="0" borderId="0" xfId="0" applyAlignment="1">
      <alignment vertical="center"/>
    </xf>
    <xf numFmtId="0" fontId="8" fillId="0" borderId="0" xfId="0" applyFont="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9" fillId="0" borderId="0" xfId="0" applyFont="1" applyAlignment="1"/>
    <xf numFmtId="166" fontId="0" fillId="0" borderId="1" xfId="0" applyNumberFormat="1" applyBorder="1" applyAlignment="1">
      <alignment horizontal="center" vertical="center"/>
    </xf>
    <xf numFmtId="0" fontId="0" fillId="0" borderId="0" xfId="0" applyAlignment="1">
      <alignment horizontal="center" vertical="center"/>
    </xf>
    <xf numFmtId="44" fontId="4" fillId="0" borderId="0" xfId="0" applyNumberFormat="1" applyFont="1" applyAlignment="1">
      <alignment vertical="center"/>
    </xf>
    <xf numFmtId="44" fontId="4" fillId="0" borderId="0" xfId="0" applyNumberFormat="1" applyFont="1" applyAlignment="1">
      <alignment horizontal="left" vertical="center"/>
    </xf>
    <xf numFmtId="44" fontId="5" fillId="0" borderId="0" xfId="0" applyNumberFormat="1" applyFont="1" applyAlignment="1">
      <alignment vertical="center"/>
    </xf>
    <xf numFmtId="168" fontId="5" fillId="0" borderId="0" xfId="3" applyNumberFormat="1" applyFont="1" applyAlignment="1">
      <alignment vertical="center"/>
    </xf>
    <xf numFmtId="10" fontId="5" fillId="0" borderId="0" xfId="0" applyNumberFormat="1" applyFont="1" applyAlignment="1">
      <alignment vertical="center"/>
    </xf>
    <xf numFmtId="0" fontId="4" fillId="0" borderId="0" xfId="0" applyFont="1" applyFill="1" applyAlignment="1">
      <alignment vertical="center"/>
    </xf>
    <xf numFmtId="43" fontId="4" fillId="0" borderId="0" xfId="0" applyNumberFormat="1" applyFont="1" applyFill="1" applyAlignment="1">
      <alignment vertical="center"/>
    </xf>
    <xf numFmtId="0" fontId="0" fillId="0" borderId="0" xfId="0" applyFont="1"/>
    <xf numFmtId="0" fontId="0" fillId="0" borderId="0" xfId="0" applyFont="1" applyAlignment="1">
      <alignment horizontal="justify" vertical="center"/>
    </xf>
    <xf numFmtId="0" fontId="4" fillId="0" borderId="0" xfId="0" applyFont="1" applyAlignment="1">
      <alignment horizontal="justify" vertical="center"/>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2" borderId="15" xfId="0" applyFont="1" applyFill="1" applyBorder="1" applyAlignment="1">
      <alignment vertical="center" wrapText="1"/>
    </xf>
    <xf numFmtId="49" fontId="2" fillId="2" borderId="15"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164" fontId="2" fillId="2" borderId="20" xfId="0" applyNumberFormat="1" applyFont="1" applyFill="1" applyBorder="1" applyAlignment="1">
      <alignment horizontal="center" vertical="center" wrapText="1"/>
    </xf>
    <xf numFmtId="0" fontId="0" fillId="2" borderId="16" xfId="0" applyFont="1" applyFill="1" applyBorder="1" applyAlignment="1">
      <alignment vertical="center" wrapText="1"/>
    </xf>
    <xf numFmtId="0" fontId="0" fillId="0" borderId="2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Fill="1"/>
    <xf numFmtId="0" fontId="0" fillId="0" borderId="0" xfId="0" applyFill="1"/>
    <xf numFmtId="0" fontId="4" fillId="0" borderId="3" xfId="0" applyFont="1" applyFill="1" applyBorder="1" applyAlignment="1">
      <alignment horizontal="left" vertical="center"/>
    </xf>
    <xf numFmtId="0" fontId="0" fillId="2" borderId="16"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0" fontId="0" fillId="2" borderId="16" xfId="0" applyFont="1" applyFill="1" applyBorder="1" applyAlignment="1">
      <alignment horizontal="center" vertical="top" wrapText="1"/>
    </xf>
    <xf numFmtId="0" fontId="2" fillId="2" borderId="16" xfId="0" applyFont="1" applyFill="1" applyBorder="1" applyAlignment="1">
      <alignment horizontal="center" vertical="top" wrapText="1"/>
    </xf>
    <xf numFmtId="0" fontId="4" fillId="0" borderId="0" xfId="0" applyFont="1" applyAlignment="1">
      <alignment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 xfId="0" applyFont="1" applyBorder="1" applyAlignment="1">
      <alignment vertical="center" wrapText="1"/>
    </xf>
    <xf numFmtId="164" fontId="0" fillId="0" borderId="1" xfId="4" applyFont="1" applyBorder="1" applyAlignment="1">
      <alignment vertical="center" wrapText="1"/>
    </xf>
    <xf numFmtId="170" fontId="0" fillId="0" borderId="1" xfId="0" applyNumberFormat="1" applyFont="1" applyBorder="1" applyAlignment="1">
      <alignment horizontal="center" vertical="center" wrapText="1"/>
    </xf>
    <xf numFmtId="43" fontId="0" fillId="0" borderId="0" xfId="0" applyNumberFormat="1"/>
    <xf numFmtId="171" fontId="0" fillId="0" borderId="1" xfId="0" applyNumberFormat="1" applyFont="1" applyBorder="1" applyAlignment="1">
      <alignment horizontal="center" vertical="center" wrapText="1"/>
    </xf>
    <xf numFmtId="168" fontId="0" fillId="0" borderId="0" xfId="3" applyNumberFormat="1" applyFont="1"/>
    <xf numFmtId="0" fontId="0" fillId="0" borderId="0" xfId="0" applyAlignment="1">
      <alignment horizontal="center"/>
    </xf>
    <xf numFmtId="9" fontId="0" fillId="0" borderId="0" xfId="0" applyNumberFormat="1" applyAlignment="1">
      <alignment horizontal="center"/>
    </xf>
    <xf numFmtId="0" fontId="0" fillId="0" borderId="25" xfId="0" applyFont="1" applyBorder="1" applyAlignment="1">
      <alignment horizontal="center" vertical="center" wrapText="1"/>
    </xf>
    <xf numFmtId="0" fontId="0" fillId="0" borderId="29" xfId="0" applyFont="1" applyBorder="1" applyAlignment="1">
      <alignment horizontal="center" vertical="center" wrapText="1"/>
    </xf>
    <xf numFmtId="0" fontId="14" fillId="7" borderId="41" xfId="5" applyFont="1" applyFill="1" applyBorder="1" applyAlignment="1">
      <alignment horizontal="center" vertical="center" wrapText="1"/>
    </xf>
    <xf numFmtId="0" fontId="14" fillId="7" borderId="38" xfId="5" applyFont="1" applyFill="1" applyBorder="1" applyAlignment="1">
      <alignment horizontal="center" vertical="center" wrapText="1"/>
    </xf>
    <xf numFmtId="0" fontId="15" fillId="0" borderId="10" xfId="5" applyFont="1" applyBorder="1" applyAlignment="1">
      <alignment vertical="center" wrapText="1"/>
    </xf>
    <xf numFmtId="0" fontId="15" fillId="0" borderId="10" xfId="5" applyFont="1" applyBorder="1" applyAlignment="1">
      <alignment horizontal="center" vertical="center" wrapText="1"/>
    </xf>
    <xf numFmtId="0" fontId="15" fillId="0" borderId="11" xfId="5" applyFont="1" applyBorder="1" applyAlignment="1">
      <alignment horizontal="center" vertical="center" wrapText="1"/>
    </xf>
    <xf numFmtId="0" fontId="15" fillId="0" borderId="1" xfId="5" applyFont="1" applyBorder="1" applyAlignment="1">
      <alignment vertical="center" wrapText="1"/>
    </xf>
    <xf numFmtId="0" fontId="15" fillId="0" borderId="1" xfId="5" applyFont="1" applyBorder="1" applyAlignment="1">
      <alignment horizontal="center" vertical="center" wrapText="1"/>
    </xf>
    <xf numFmtId="0" fontId="15" fillId="0" borderId="2" xfId="5" applyFont="1" applyBorder="1" applyAlignment="1">
      <alignment horizontal="center" vertical="center" wrapText="1"/>
    </xf>
    <xf numFmtId="0" fontId="15" fillId="4" borderId="1" xfId="5" applyFont="1" applyFill="1" applyBorder="1" applyAlignment="1">
      <alignment vertical="center" wrapText="1"/>
    </xf>
    <xf numFmtId="0" fontId="15" fillId="0" borderId="2" xfId="5" applyFont="1" applyBorder="1" applyAlignment="1">
      <alignment vertical="center" wrapText="1"/>
    </xf>
    <xf numFmtId="0" fontId="15" fillId="4" borderId="2" xfId="5" applyFont="1" applyFill="1" applyBorder="1" applyAlignment="1">
      <alignment vertical="center" wrapText="1"/>
    </xf>
    <xf numFmtId="0" fontId="15" fillId="0" borderId="7" xfId="5" applyFont="1" applyBorder="1" applyAlignment="1">
      <alignment vertical="center" wrapText="1"/>
    </xf>
    <xf numFmtId="0" fontId="15" fillId="0" borderId="6" xfId="5" applyFont="1" applyBorder="1" applyAlignment="1">
      <alignment horizontal="center" vertical="center" wrapText="1"/>
    </xf>
    <xf numFmtId="0" fontId="15" fillId="0" borderId="7" xfId="5" applyFont="1" applyBorder="1" applyAlignment="1">
      <alignment horizontal="center" vertical="center" wrapText="1"/>
    </xf>
    <xf numFmtId="0" fontId="14" fillId="5" borderId="38" xfId="5" applyFont="1" applyFill="1" applyBorder="1" applyAlignment="1">
      <alignment horizontal="center" vertical="center" wrapText="1"/>
    </xf>
    <xf numFmtId="0" fontId="14" fillId="5" borderId="44" xfId="5" applyFont="1" applyFill="1" applyBorder="1" applyAlignment="1">
      <alignment horizontal="center" vertical="center" wrapText="1"/>
    </xf>
    <xf numFmtId="0" fontId="14" fillId="5" borderId="41" xfId="5" applyFont="1" applyFill="1" applyBorder="1" applyAlignment="1">
      <alignment horizontal="center" vertical="center" wrapText="1"/>
    </xf>
    <xf numFmtId="0" fontId="15" fillId="4" borderId="11" xfId="5" applyFont="1" applyFill="1" applyBorder="1" applyAlignment="1">
      <alignment vertical="center" wrapText="1"/>
    </xf>
    <xf numFmtId="0" fontId="15" fillId="0" borderId="0" xfId="5" applyFont="1"/>
    <xf numFmtId="0" fontId="15" fillId="0" borderId="0" xfId="5" applyFont="1" applyAlignment="1">
      <alignment horizontal="center"/>
    </xf>
    <xf numFmtId="0" fontId="17" fillId="0" borderId="0" xfId="0" applyFont="1"/>
    <xf numFmtId="2" fontId="14" fillId="8" borderId="43" xfId="5" applyNumberFormat="1" applyFont="1" applyFill="1" applyBorder="1" applyAlignment="1">
      <alignment horizontal="center"/>
    </xf>
    <xf numFmtId="2" fontId="14" fillId="5" borderId="41" xfId="5" applyNumberFormat="1" applyFont="1" applyFill="1" applyBorder="1" applyAlignment="1">
      <alignment horizontal="center" vertical="center" wrapText="1"/>
    </xf>
    <xf numFmtId="2" fontId="14" fillId="5" borderId="40" xfId="5" applyNumberFormat="1" applyFont="1" applyFill="1" applyBorder="1" applyAlignment="1">
      <alignment horizontal="center" vertical="center" wrapText="1"/>
    </xf>
    <xf numFmtId="164" fontId="14" fillId="5" borderId="41" xfId="4" applyFont="1" applyFill="1" applyBorder="1" applyAlignment="1">
      <alignment horizontal="center" vertical="center" wrapText="1"/>
    </xf>
    <xf numFmtId="44" fontId="14" fillId="8" borderId="43" xfId="2" applyFont="1" applyFill="1" applyBorder="1" applyAlignment="1">
      <alignment horizontal="center"/>
    </xf>
    <xf numFmtId="44" fontId="14" fillId="8" borderId="40" xfId="2" applyFont="1" applyFill="1" applyBorder="1" applyAlignment="1">
      <alignment horizontal="center"/>
    </xf>
    <xf numFmtId="0" fontId="0" fillId="0" borderId="1" xfId="0" applyNumberFormat="1" applyFont="1" applyBorder="1" applyAlignment="1">
      <alignment horizontal="center" vertical="center" wrapText="1"/>
    </xf>
    <xf numFmtId="2" fontId="17" fillId="0" borderId="0" xfId="0" applyNumberFormat="1" applyFont="1"/>
    <xf numFmtId="4" fontId="0" fillId="0" borderId="0" xfId="0" applyNumberFormat="1"/>
    <xf numFmtId="164" fontId="1" fillId="2" borderId="1" xfId="4" applyFont="1" applyFill="1" applyBorder="1" applyAlignment="1">
      <alignment vertical="center" wrapText="1"/>
    </xf>
    <xf numFmtId="0" fontId="5" fillId="0" borderId="0" xfId="0" applyFont="1"/>
    <xf numFmtId="0" fontId="3" fillId="2" borderId="1" xfId="0" applyFont="1" applyFill="1" applyBorder="1" applyAlignment="1">
      <alignment horizontal="center"/>
    </xf>
    <xf numFmtId="0" fontId="5" fillId="2" borderId="1" xfId="0" applyFont="1" applyFill="1" applyBorder="1" applyAlignment="1">
      <alignment vertical="center" wrapText="1"/>
    </xf>
    <xf numFmtId="173" fontId="4" fillId="0" borderId="0" xfId="0" applyNumberFormat="1" applyFont="1" applyAlignment="1">
      <alignment vertical="center"/>
    </xf>
    <xf numFmtId="0" fontId="14" fillId="7" borderId="45" xfId="5" applyFont="1" applyFill="1" applyBorder="1" applyAlignment="1">
      <alignment horizontal="center" vertical="center" wrapText="1"/>
    </xf>
    <xf numFmtId="0" fontId="14" fillId="7" borderId="46" xfId="5" applyFont="1" applyFill="1" applyBorder="1" applyAlignment="1">
      <alignment horizontal="center" vertical="center" wrapText="1"/>
    </xf>
    <xf numFmtId="44" fontId="15" fillId="0" borderId="10" xfId="2" applyFont="1" applyBorder="1" applyAlignment="1">
      <alignment horizontal="center"/>
    </xf>
    <xf numFmtId="44" fontId="15" fillId="0" borderId="1" xfId="2" applyFont="1" applyBorder="1" applyAlignment="1">
      <alignment horizontal="center"/>
    </xf>
    <xf numFmtId="44" fontId="15" fillId="0" borderId="6" xfId="2" applyFont="1" applyBorder="1" applyAlignment="1">
      <alignment horizontal="center"/>
    </xf>
    <xf numFmtId="164" fontId="14" fillId="11" borderId="41" xfId="4" applyFont="1" applyFill="1" applyBorder="1" applyAlignment="1">
      <alignment horizontal="center" vertical="center" wrapText="1"/>
    </xf>
    <xf numFmtId="166" fontId="2" fillId="11" borderId="1" xfId="0" applyNumberFormat="1" applyFont="1" applyFill="1" applyBorder="1" applyAlignment="1">
      <alignment horizontal="center" vertical="center"/>
    </xf>
    <xf numFmtId="0" fontId="2" fillId="11" borderId="4" xfId="0" applyFont="1" applyFill="1" applyBorder="1" applyAlignment="1">
      <alignment horizontal="center" vertical="center"/>
    </xf>
    <xf numFmtId="0" fontId="12" fillId="11" borderId="1" xfId="0" applyFont="1" applyFill="1" applyBorder="1" applyAlignment="1">
      <alignment horizontal="center"/>
    </xf>
    <xf numFmtId="172" fontId="12" fillId="11" borderId="1" xfId="0" applyNumberFormat="1" applyFont="1" applyFill="1" applyBorder="1" applyAlignment="1">
      <alignment horizontal="center"/>
    </xf>
    <xf numFmtId="2" fontId="12" fillId="11" borderId="1" xfId="0" applyNumberFormat="1" applyFont="1" applyFill="1" applyBorder="1" applyAlignment="1">
      <alignment horizontal="center"/>
    </xf>
    <xf numFmtId="44" fontId="15" fillId="6" borderId="10" xfId="2" applyFont="1" applyFill="1" applyBorder="1" applyAlignment="1">
      <alignment horizontal="center"/>
    </xf>
    <xf numFmtId="44" fontId="0" fillId="6" borderId="1" xfId="2" applyFont="1" applyFill="1" applyBorder="1" applyAlignment="1">
      <alignment horizontal="center" vertical="center"/>
    </xf>
    <xf numFmtId="44" fontId="15" fillId="4" borderId="10" xfId="2" applyFont="1" applyFill="1" applyBorder="1" applyAlignment="1">
      <alignment horizontal="center"/>
    </xf>
    <xf numFmtId="44" fontId="15" fillId="4" borderId="1" xfId="2" applyFont="1" applyFill="1" applyBorder="1" applyAlignment="1">
      <alignment horizontal="center"/>
    </xf>
    <xf numFmtId="170" fontId="0" fillId="0" borderId="0" xfId="0" applyNumberFormat="1" applyAlignment="1">
      <alignment horizontal="center"/>
    </xf>
    <xf numFmtId="0" fontId="2" fillId="5" borderId="1" xfId="0" applyFont="1" applyFill="1" applyBorder="1"/>
    <xf numFmtId="44" fontId="2" fillId="5" borderId="1" xfId="2" applyFont="1" applyFill="1" applyBorder="1" applyAlignment="1">
      <alignment horizontal="center"/>
    </xf>
    <xf numFmtId="164" fontId="21" fillId="5" borderId="41" xfId="4" applyFont="1" applyFill="1" applyBorder="1" applyAlignment="1">
      <alignment horizontal="center" vertical="center" wrapText="1"/>
    </xf>
    <xf numFmtId="0" fontId="17" fillId="4" borderId="0" xfId="0" applyFont="1" applyFill="1" applyBorder="1"/>
    <xf numFmtId="44" fontId="15" fillId="4" borderId="0" xfId="2" applyFont="1" applyFill="1" applyBorder="1" applyAlignment="1">
      <alignment horizontal="center"/>
    </xf>
    <xf numFmtId="43" fontId="17" fillId="0" borderId="0" xfId="1" applyFont="1"/>
    <xf numFmtId="43" fontId="0" fillId="0" borderId="0" xfId="1" applyFont="1" applyAlignment="1">
      <alignment vertical="center"/>
    </xf>
    <xf numFmtId="43" fontId="0" fillId="0" borderId="0" xfId="0" applyNumberFormat="1" applyAlignme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14" fontId="23" fillId="0" borderId="1" xfId="2" applyNumberFormat="1" applyFont="1" applyBorder="1" applyAlignment="1">
      <alignment horizontal="center" vertical="center" wrapText="1"/>
    </xf>
    <xf numFmtId="44" fontId="23" fillId="6" borderId="1" xfId="2" applyFont="1" applyFill="1" applyBorder="1" applyAlignment="1">
      <alignment horizontal="center" vertical="center" wrapText="1"/>
    </xf>
    <xf numFmtId="1" fontId="23" fillId="6" borderId="1" xfId="2" applyNumberFormat="1" applyFont="1" applyFill="1" applyBorder="1" applyAlignment="1">
      <alignment horizontal="center" vertical="center" wrapText="1"/>
    </xf>
    <xf numFmtId="0" fontId="23" fillId="4" borderId="1" xfId="2" applyNumberFormat="1" applyFont="1" applyFill="1" applyBorder="1" applyAlignment="1">
      <alignment horizontal="center" vertical="center" wrapText="1"/>
    </xf>
    <xf numFmtId="0" fontId="23" fillId="6" borderId="1" xfId="2" applyNumberFormat="1" applyFont="1" applyFill="1" applyBorder="1" applyAlignment="1">
      <alignment horizontal="center" vertical="center" wrapText="1"/>
    </xf>
    <xf numFmtId="44" fontId="22" fillId="6" borderId="1" xfId="2" applyFont="1" applyFill="1" applyBorder="1" applyAlignment="1">
      <alignment horizontal="center" vertical="center" wrapText="1"/>
    </xf>
    <xf numFmtId="0" fontId="23" fillId="0" borderId="2" xfId="0" applyFont="1" applyBorder="1" applyAlignment="1">
      <alignment horizontal="center" vertical="center"/>
    </xf>
    <xf numFmtId="44" fontId="22" fillId="2" borderId="1" xfId="2" applyFont="1" applyFill="1" applyBorder="1" applyAlignment="1">
      <alignment horizontal="center" vertical="center"/>
    </xf>
    <xf numFmtId="44" fontId="23" fillId="4" borderId="1" xfId="2" applyFont="1" applyFill="1" applyBorder="1" applyAlignment="1">
      <alignment vertical="center"/>
    </xf>
    <xf numFmtId="44" fontId="23" fillId="0" borderId="1" xfId="2" applyFont="1" applyBorder="1" applyAlignment="1">
      <alignment vertical="center"/>
    </xf>
    <xf numFmtId="44" fontId="22" fillId="2" borderId="1" xfId="2" applyFont="1" applyFill="1" applyBorder="1" applyAlignment="1">
      <alignment vertical="center"/>
    </xf>
    <xf numFmtId="0" fontId="23" fillId="6" borderId="1" xfId="0" applyFont="1" applyFill="1" applyBorder="1" applyAlignment="1">
      <alignment horizontal="center" vertical="center"/>
    </xf>
    <xf numFmtId="44" fontId="23" fillId="6" borderId="1" xfId="2" applyFont="1" applyFill="1" applyBorder="1" applyAlignment="1">
      <alignment horizontal="center" vertical="center"/>
    </xf>
    <xf numFmtId="0" fontId="23" fillId="4" borderId="1" xfId="0" applyFont="1" applyFill="1" applyBorder="1" applyAlignment="1">
      <alignment horizontal="center" vertical="center"/>
    </xf>
    <xf numFmtId="44" fontId="23" fillId="0" borderId="1" xfId="2" applyFont="1" applyBorder="1" applyAlignment="1">
      <alignment horizontal="center" vertical="center"/>
    </xf>
    <xf numFmtId="44" fontId="23" fillId="6" borderId="1" xfId="2" applyFont="1" applyFill="1" applyBorder="1" applyAlignment="1">
      <alignment vertical="center"/>
    </xf>
    <xf numFmtId="44" fontId="25" fillId="2" borderId="1" xfId="2" applyFont="1" applyFill="1" applyBorder="1" applyAlignment="1">
      <alignment vertical="center"/>
    </xf>
    <xf numFmtId="10" fontId="24" fillId="4" borderId="2" xfId="0" applyNumberFormat="1" applyFont="1" applyFill="1" applyBorder="1" applyAlignment="1">
      <alignment horizontal="center" vertical="center"/>
    </xf>
    <xf numFmtId="10" fontId="23" fillId="4" borderId="2" xfId="0" applyNumberFormat="1" applyFont="1" applyFill="1" applyBorder="1" applyAlignment="1">
      <alignment horizontal="center" vertical="center"/>
    </xf>
    <xf numFmtId="0" fontId="22" fillId="0" borderId="10" xfId="0" applyFont="1" applyBorder="1" applyAlignment="1">
      <alignment horizontal="center" vertical="center"/>
    </xf>
    <xf numFmtId="175" fontId="23" fillId="6" borderId="6" xfId="0" applyNumberFormat="1" applyFont="1" applyFill="1" applyBorder="1" applyAlignment="1">
      <alignment horizontal="center" vertical="center"/>
    </xf>
    <xf numFmtId="10" fontId="23" fillId="6" borderId="2" xfId="0" applyNumberFormat="1" applyFont="1" applyFill="1" applyBorder="1" applyAlignment="1">
      <alignment horizontal="center" vertical="center"/>
    </xf>
    <xf numFmtId="10" fontId="22" fillId="2" borderId="2" xfId="0" applyNumberFormat="1" applyFont="1" applyFill="1" applyBorder="1" applyAlignment="1">
      <alignment horizontal="center" vertical="center"/>
    </xf>
    <xf numFmtId="10" fontId="22" fillId="3" borderId="2" xfId="0" applyNumberFormat="1" applyFont="1" applyFill="1" applyBorder="1" applyAlignment="1">
      <alignment horizontal="center" vertical="center"/>
    </xf>
    <xf numFmtId="44" fontId="22" fillId="3" borderId="1" xfId="2" applyFont="1" applyFill="1" applyBorder="1" applyAlignment="1">
      <alignment vertical="center"/>
    </xf>
    <xf numFmtId="0" fontId="23" fillId="3" borderId="2" xfId="0" applyFont="1" applyFill="1" applyBorder="1" applyAlignment="1">
      <alignment horizontal="center" vertical="center"/>
    </xf>
    <xf numFmtId="10" fontId="22" fillId="3" borderId="2" xfId="3" applyNumberFormat="1" applyFont="1" applyFill="1" applyBorder="1" applyAlignment="1">
      <alignment horizontal="center" vertical="center"/>
    </xf>
    <xf numFmtId="10" fontId="22" fillId="2" borderId="2" xfId="3" applyNumberFormat="1" applyFont="1" applyFill="1" applyBorder="1" applyAlignment="1">
      <alignment horizontal="center" vertical="center"/>
    </xf>
    <xf numFmtId="10" fontId="23" fillId="0" borderId="1" xfId="3" applyNumberFormat="1" applyFont="1" applyBorder="1" applyAlignment="1">
      <alignment horizontal="center" vertical="center"/>
    </xf>
    <xf numFmtId="10" fontId="22" fillId="2" borderId="1" xfId="3" applyNumberFormat="1" applyFont="1" applyFill="1" applyBorder="1" applyAlignment="1">
      <alignment horizontal="center" vertical="center"/>
    </xf>
    <xf numFmtId="10" fontId="22" fillId="6" borderId="1" xfId="3" applyNumberFormat="1" applyFont="1" applyFill="1" applyBorder="1" applyAlignment="1">
      <alignment horizontal="center" vertical="center"/>
    </xf>
    <xf numFmtId="10" fontId="24" fillId="6" borderId="2" xfId="0" applyNumberFormat="1" applyFont="1" applyFill="1" applyBorder="1" applyAlignment="1">
      <alignment horizontal="center" vertical="center"/>
    </xf>
    <xf numFmtId="164" fontId="23" fillId="0" borderId="1" xfId="2" applyNumberFormat="1" applyFont="1" applyBorder="1" applyAlignment="1">
      <alignment vertical="center"/>
    </xf>
    <xf numFmtId="164" fontId="22" fillId="0" borderId="1" xfId="2" applyNumberFormat="1" applyFont="1" applyBorder="1" applyAlignment="1">
      <alignment vertical="center"/>
    </xf>
    <xf numFmtId="164" fontId="22" fillId="2" borderId="1" xfId="2" applyNumberFormat="1"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44" fontId="23" fillId="0" borderId="0" xfId="2" applyFont="1" applyAlignment="1">
      <alignment vertical="center"/>
    </xf>
    <xf numFmtId="178" fontId="32" fillId="0" borderId="1"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2" fillId="14" borderId="1" xfId="0" applyNumberFormat="1" applyFont="1" applyFill="1" applyBorder="1" applyAlignment="1">
      <alignment horizontal="center" vertical="center" wrapText="1"/>
    </xf>
    <xf numFmtId="178" fontId="32" fillId="14" borderId="1" xfId="0" applyNumberFormat="1" applyFont="1" applyFill="1" applyBorder="1" applyAlignment="1">
      <alignment vertical="center" wrapText="1"/>
    </xf>
    <xf numFmtId="164" fontId="32" fillId="15" borderId="1" xfId="0" applyNumberFormat="1" applyFont="1" applyFill="1" applyBorder="1" applyAlignment="1">
      <alignment vertical="center" wrapText="1"/>
    </xf>
    <xf numFmtId="164" fontId="32" fillId="14" borderId="1" xfId="4" applyFont="1" applyFill="1" applyBorder="1" applyAlignment="1">
      <alignment vertical="center" wrapText="1"/>
    </xf>
    <xf numFmtId="0" fontId="0" fillId="0" borderId="1" xfId="0" applyBorder="1" applyAlignment="1">
      <alignment horizontal="center" vertical="center"/>
    </xf>
    <xf numFmtId="178" fontId="32" fillId="0" borderId="10" xfId="0" applyNumberFormat="1" applyFont="1" applyBorder="1" applyAlignment="1">
      <alignment horizontal="center" vertical="center" wrapText="1"/>
    </xf>
    <xf numFmtId="1" fontId="32" fillId="0" borderId="10" xfId="0" applyNumberFormat="1" applyFont="1" applyBorder="1" applyAlignment="1">
      <alignment horizontal="center" vertical="center" wrapText="1"/>
    </xf>
    <xf numFmtId="0" fontId="2" fillId="17" borderId="1" xfId="0" applyFont="1" applyFill="1" applyBorder="1" applyAlignment="1">
      <alignment horizontal="center" vertical="center"/>
    </xf>
    <xf numFmtId="0" fontId="30" fillId="18" borderId="1" xfId="0" applyFont="1" applyFill="1" applyBorder="1" applyAlignment="1">
      <alignment horizontal="center" vertical="center" wrapText="1"/>
    </xf>
    <xf numFmtId="166" fontId="32" fillId="0" borderId="10" xfId="4" applyNumberFormat="1" applyFont="1" applyBorder="1" applyAlignment="1">
      <alignment horizontal="center" vertical="center" wrapText="1"/>
    </xf>
    <xf numFmtId="166" fontId="32" fillId="0" borderId="1" xfId="4" applyNumberFormat="1" applyFont="1" applyBorder="1" applyAlignment="1">
      <alignment horizontal="center" vertical="center" wrapText="1"/>
    </xf>
    <xf numFmtId="166" fontId="32" fillId="0" borderId="1" xfId="2" applyNumberFormat="1" applyFont="1" applyBorder="1" applyAlignment="1">
      <alignment horizontal="center" vertical="center"/>
    </xf>
    <xf numFmtId="0" fontId="0" fillId="0" borderId="1" xfId="0" applyBorder="1" applyAlignment="1">
      <alignment vertical="center" wrapText="1"/>
    </xf>
    <xf numFmtId="0" fontId="0" fillId="0" borderId="0" xfId="0" applyAlignment="1">
      <alignment horizontal="left"/>
    </xf>
    <xf numFmtId="0" fontId="0" fillId="0" borderId="1" xfId="0" applyBorder="1" applyAlignment="1">
      <alignment horizontal="left" vertical="center"/>
    </xf>
    <xf numFmtId="0" fontId="0" fillId="0" borderId="1" xfId="0" applyBorder="1" applyAlignment="1">
      <alignment horizontal="center" vertical="center" wrapText="1"/>
    </xf>
    <xf numFmtId="166" fontId="0" fillId="0" borderId="1" xfId="0" applyNumberFormat="1" applyBorder="1" applyAlignment="1">
      <alignment horizontal="right" vertical="center"/>
    </xf>
    <xf numFmtId="0" fontId="0" fillId="0" borderId="1" xfId="0" applyBorder="1" applyAlignment="1">
      <alignment horizontal="left" vertical="center" wrapText="1"/>
    </xf>
    <xf numFmtId="166" fontId="0" fillId="0" borderId="1" xfId="0" applyNumberFormat="1" applyBorder="1"/>
    <xf numFmtId="0" fontId="2" fillId="0" borderId="1" xfId="0" applyFont="1" applyBorder="1" applyAlignment="1">
      <alignment horizontal="center"/>
    </xf>
    <xf numFmtId="43" fontId="2" fillId="0" borderId="1" xfId="1" applyFont="1" applyBorder="1" applyAlignment="1">
      <alignment horizontal="center"/>
    </xf>
    <xf numFmtId="43" fontId="0" fillId="0" borderId="1" xfId="1" applyFont="1" applyBorder="1" applyAlignment="1">
      <alignment horizontal="center" vertical="center"/>
    </xf>
    <xf numFmtId="43" fontId="0" fillId="0" borderId="0" xfId="1" applyFont="1"/>
    <xf numFmtId="0" fontId="0" fillId="0" borderId="2" xfId="0" applyBorder="1" applyAlignment="1"/>
    <xf numFmtId="0" fontId="0" fillId="0" borderId="3" xfId="0" applyBorder="1" applyAlignment="1"/>
    <xf numFmtId="0" fontId="4" fillId="0" borderId="0" xfId="0" quotePrefix="1" applyFont="1" applyAlignment="1">
      <alignment horizontal="left" vertical="center"/>
    </xf>
    <xf numFmtId="0" fontId="23" fillId="0" borderId="3" xfId="0" applyFont="1" applyBorder="1" applyAlignment="1">
      <alignment vertical="center" wrapText="1"/>
    </xf>
    <xf numFmtId="0" fontId="23" fillId="0" borderId="3" xfId="0" applyFont="1" applyBorder="1" applyAlignment="1">
      <alignment horizontal="lef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1" xfId="0" applyFont="1" applyBorder="1" applyAlignment="1">
      <alignment horizontal="center" vertical="center"/>
    </xf>
    <xf numFmtId="0" fontId="22" fillId="2" borderId="1" xfId="0" applyFont="1" applyFill="1" applyBorder="1" applyAlignment="1">
      <alignment horizontal="center" vertical="center"/>
    </xf>
    <xf numFmtId="0" fontId="23" fillId="0" borderId="4" xfId="0" applyFont="1" applyBorder="1" applyAlignment="1">
      <alignment vertical="center"/>
    </xf>
    <xf numFmtId="0" fontId="22" fillId="2" borderId="2" xfId="0" applyFont="1" applyFill="1" applyBorder="1" applyAlignment="1">
      <alignment horizontal="center"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11" xfId="0" applyFont="1" applyBorder="1" applyAlignment="1">
      <alignment vertical="center"/>
    </xf>
    <xf numFmtId="0" fontId="23" fillId="0" borderId="5" xfId="0" applyFont="1" applyBorder="1" applyAlignment="1">
      <alignment vertical="center"/>
    </xf>
    <xf numFmtId="0" fontId="23" fillId="0" borderId="4"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22" fillId="3" borderId="2" xfId="0" applyFont="1" applyFill="1" applyBorder="1" applyAlignment="1">
      <alignment horizontal="center" vertical="center"/>
    </xf>
    <xf numFmtId="10" fontId="23" fillId="0" borderId="6" xfId="3" applyNumberFormat="1" applyFont="1" applyBorder="1" applyAlignment="1">
      <alignment horizontal="center" vertical="center"/>
    </xf>
    <xf numFmtId="0" fontId="0" fillId="0" borderId="1" xfId="0" applyBorder="1" applyAlignment="1">
      <alignment horizontal="center" vertical="center"/>
    </xf>
    <xf numFmtId="0" fontId="22" fillId="2" borderId="1" xfId="0" applyFont="1" applyFill="1" applyBorder="1" applyAlignment="1">
      <alignment horizontal="center" vertical="center"/>
    </xf>
    <xf numFmtId="10" fontId="23" fillId="0" borderId="6" xfId="3" applyNumberFormat="1" applyFont="1" applyBorder="1" applyAlignment="1">
      <alignment horizontal="center" vertical="center"/>
    </xf>
    <xf numFmtId="0" fontId="4" fillId="0" borderId="0" xfId="0" applyFont="1" applyAlignment="1">
      <alignment horizontal="lef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11" xfId="0" applyFont="1" applyBorder="1" applyAlignment="1">
      <alignment vertical="center"/>
    </xf>
    <xf numFmtId="0" fontId="23" fillId="0" borderId="5" xfId="0" applyFont="1" applyBorder="1" applyAlignment="1">
      <alignment vertical="center"/>
    </xf>
    <xf numFmtId="0" fontId="22" fillId="3" borderId="2"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4" fillId="0" borderId="0" xfId="0" applyFont="1" applyAlignment="1">
      <alignmen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2" fillId="2" borderId="2" xfId="0" applyFont="1" applyFill="1" applyBorder="1" applyAlignment="1">
      <alignment horizontal="center" vertical="center"/>
    </xf>
    <xf numFmtId="0" fontId="4" fillId="0" borderId="0" xfId="0" quotePrefix="1" applyFont="1" applyAlignment="1">
      <alignment horizontal="left" vertical="center"/>
    </xf>
    <xf numFmtId="0" fontId="23" fillId="0" borderId="3" xfId="0" applyFont="1" applyBorder="1" applyAlignment="1">
      <alignment vertical="center" wrapText="1"/>
    </xf>
    <xf numFmtId="0" fontId="23" fillId="0" borderId="1" xfId="0" applyFont="1" applyBorder="1" applyAlignment="1">
      <alignment horizontal="center" vertical="center"/>
    </xf>
    <xf numFmtId="0" fontId="0" fillId="0" borderId="1" xfId="0" applyBorder="1" applyAlignment="1">
      <alignment horizontal="center" vertical="center"/>
    </xf>
    <xf numFmtId="0" fontId="35" fillId="0" borderId="0" xfId="5" applyFont="1" applyFill="1" applyBorder="1" applyAlignment="1"/>
    <xf numFmtId="4" fontId="34" fillId="0" borderId="1" xfId="5" applyNumberFormat="1" applyFont="1" applyFill="1" applyBorder="1" applyAlignment="1">
      <alignment horizontal="right"/>
    </xf>
    <xf numFmtId="0" fontId="34" fillId="0" borderId="1" xfId="5" applyFont="1" applyFill="1" applyBorder="1"/>
    <xf numFmtId="4" fontId="34" fillId="0" borderId="1" xfId="5" applyNumberFormat="1" applyFont="1" applyFill="1" applyBorder="1" applyAlignment="1">
      <alignment horizontal="left"/>
    </xf>
    <xf numFmtId="49" fontId="35" fillId="0" borderId="1" xfId="5" applyNumberFormat="1" applyFont="1" applyFill="1" applyBorder="1" applyAlignment="1">
      <alignment horizontal="center" vertical="center"/>
    </xf>
    <xf numFmtId="0" fontId="34" fillId="0" borderId="1" xfId="5" applyFont="1" applyFill="1" applyBorder="1" applyAlignment="1">
      <alignment horizontal="center" vertical="center" wrapText="1"/>
    </xf>
    <xf numFmtId="49" fontId="34" fillId="0" borderId="1" xfId="5" applyNumberFormat="1" applyFont="1" applyFill="1" applyBorder="1" applyAlignment="1">
      <alignment horizontal="center"/>
    </xf>
    <xf numFmtId="181" fontId="34" fillId="0" borderId="1" xfId="5" applyNumberFormat="1" applyFont="1" applyFill="1" applyBorder="1" applyAlignment="1">
      <alignment horizontal="center"/>
    </xf>
    <xf numFmtId="179" fontId="35" fillId="0" borderId="1" xfId="5" applyNumberFormat="1" applyFont="1" applyFill="1" applyBorder="1" applyAlignment="1">
      <alignment horizontal="right"/>
    </xf>
    <xf numFmtId="166" fontId="35" fillId="20" borderId="1" xfId="5" applyNumberFormat="1" applyFont="1" applyFill="1" applyBorder="1" applyAlignment="1">
      <alignment horizontal="right"/>
    </xf>
    <xf numFmtId="166" fontId="34" fillId="0" borderId="1" xfId="5" applyNumberFormat="1" applyFont="1" applyFill="1" applyBorder="1" applyAlignment="1"/>
    <xf numFmtId="43" fontId="35" fillId="0" borderId="1" xfId="1" applyFont="1" applyFill="1" applyBorder="1" applyAlignment="1">
      <alignment horizontal="center"/>
    </xf>
    <xf numFmtId="0" fontId="34" fillId="0" borderId="0" xfId="5" applyFont="1" applyFill="1" applyBorder="1" applyAlignment="1">
      <alignment horizontal="center"/>
    </xf>
    <xf numFmtId="0" fontId="34" fillId="0" borderId="0" xfId="5" applyFont="1" applyFill="1" applyBorder="1"/>
    <xf numFmtId="4" fontId="34" fillId="0" borderId="0" xfId="5" applyNumberFormat="1" applyFont="1" applyFill="1" applyBorder="1"/>
    <xf numFmtId="0" fontId="0" fillId="0" borderId="1" xfId="0" applyNumberFormat="1" applyBorder="1" applyAlignment="1">
      <alignment horizontal="center" vertical="center"/>
    </xf>
    <xf numFmtId="0" fontId="2" fillId="0" borderId="1" xfId="0" applyFont="1" applyBorder="1" applyAlignment="1">
      <alignment vertical="center"/>
    </xf>
    <xf numFmtId="0" fontId="0" fillId="0" borderId="1" xfId="0" applyBorder="1"/>
    <xf numFmtId="0" fontId="0" fillId="0" borderId="0" xfId="0" applyBorder="1"/>
    <xf numFmtId="0" fontId="2" fillId="0" borderId="1" xfId="0" applyFont="1" applyBorder="1" applyAlignment="1">
      <alignment horizontal="center" vertical="center"/>
    </xf>
    <xf numFmtId="4" fontId="38" fillId="24" borderId="1" xfId="0" applyNumberFormat="1" applyFont="1" applyFill="1" applyBorder="1" applyAlignment="1">
      <alignment horizontal="center" vertical="center" wrapText="1"/>
    </xf>
    <xf numFmtId="0" fontId="34" fillId="0" borderId="1" xfId="5" applyFont="1" applyFill="1" applyBorder="1" applyAlignment="1">
      <alignment horizontal="center" vertical="center" wrapText="1"/>
    </xf>
    <xf numFmtId="49" fontId="34" fillId="0" borderId="1" xfId="5" applyNumberFormat="1" applyFont="1" applyFill="1" applyBorder="1" applyAlignment="1">
      <alignment horizontal="center"/>
    </xf>
    <xf numFmtId="49" fontId="35" fillId="0" borderId="1" xfId="5" applyNumberFormat="1" applyFont="1" applyFill="1" applyBorder="1" applyAlignment="1">
      <alignment horizontal="center" vertical="center"/>
    </xf>
    <xf numFmtId="0" fontId="30" fillId="16" borderId="10" xfId="0" applyFont="1" applyFill="1" applyBorder="1" applyAlignment="1" applyProtection="1">
      <alignment horizontal="justify" vertical="center" wrapText="1"/>
    </xf>
    <xf numFmtId="0" fontId="30" fillId="16" borderId="1" xfId="0" applyFont="1" applyFill="1" applyBorder="1" applyAlignment="1" applyProtection="1">
      <alignment horizontal="justify" vertical="center" wrapText="1"/>
    </xf>
    <xf numFmtId="0" fontId="30" fillId="16" borderId="1" xfId="0" applyNumberFormat="1" applyFont="1" applyFill="1" applyBorder="1" applyAlignment="1" applyProtection="1">
      <alignment horizontal="justify"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42" fillId="26" borderId="0" xfId="0" applyFont="1" applyFill="1" applyAlignment="1">
      <alignment horizontal="center" vertical="center"/>
    </xf>
    <xf numFmtId="0" fontId="43" fillId="4" borderId="0" xfId="0" applyFont="1" applyFill="1" applyAlignment="1">
      <alignment vertical="center"/>
    </xf>
    <xf numFmtId="0" fontId="0" fillId="4" borderId="0" xfId="0" applyFill="1"/>
    <xf numFmtId="0" fontId="0" fillId="28" borderId="0" xfId="0" applyFill="1" applyAlignment="1">
      <alignment horizontal="left" vertical="center"/>
    </xf>
    <xf numFmtId="0" fontId="0" fillId="4" borderId="0" xfId="0" applyFill="1" applyAlignment="1">
      <alignment horizontal="left" vertical="center"/>
    </xf>
    <xf numFmtId="0" fontId="42" fillId="25" borderId="1" xfId="0" applyFont="1" applyFill="1" applyBorder="1" applyAlignment="1">
      <alignment vertical="center"/>
    </xf>
    <xf numFmtId="0" fontId="0" fillId="28" borderId="0" xfId="0" applyFill="1"/>
    <xf numFmtId="0" fontId="0" fillId="28" borderId="0" xfId="0" applyFill="1" applyAlignment="1">
      <alignment horizontal="left" vertical="center" wrapText="1"/>
    </xf>
    <xf numFmtId="0" fontId="44" fillId="25" borderId="1" xfId="0" applyFont="1" applyFill="1" applyBorder="1" applyAlignment="1">
      <alignment horizontal="center" vertical="center"/>
    </xf>
    <xf numFmtId="0" fontId="42" fillId="28" borderId="0" xfId="0" applyFont="1" applyFill="1" applyAlignment="1">
      <alignment horizontal="center" vertical="center"/>
    </xf>
    <xf numFmtId="0" fontId="0" fillId="27" borderId="1" xfId="0" applyFill="1" applyBorder="1" applyAlignment="1">
      <alignment horizontal="center" vertical="center"/>
    </xf>
    <xf numFmtId="0" fontId="0" fillId="28" borderId="0" xfId="0" applyFill="1" applyAlignment="1">
      <alignment horizontal="center" vertical="center"/>
    </xf>
    <xf numFmtId="0" fontId="0" fillId="28" borderId="0" xfId="0" applyFill="1" applyAlignment="1">
      <alignment vertical="center"/>
    </xf>
    <xf numFmtId="0" fontId="0" fillId="27" borderId="1" xfId="0" applyFill="1" applyBorder="1" applyAlignment="1">
      <alignment horizontal="center" vertical="center" wrapText="1"/>
    </xf>
    <xf numFmtId="0" fontId="0" fillId="28" borderId="0" xfId="0" applyFill="1" applyAlignment="1">
      <alignment horizontal="center" vertical="center" wrapText="1"/>
    </xf>
    <xf numFmtId="0" fontId="42" fillId="26" borderId="0" xfId="0" applyFont="1" applyFill="1" applyAlignment="1">
      <alignment vertical="center"/>
    </xf>
    <xf numFmtId="0" fontId="42" fillId="25" borderId="1" xfId="0" applyFont="1" applyFill="1" applyBorder="1" applyAlignment="1">
      <alignment horizontal="center" vertical="center"/>
    </xf>
    <xf numFmtId="182" fontId="0" fillId="0" borderId="1" xfId="0" applyNumberFormat="1" applyFill="1" applyBorder="1" applyAlignment="1">
      <alignment horizontal="center" vertical="center"/>
    </xf>
    <xf numFmtId="182" fontId="0" fillId="28" borderId="0" xfId="0" applyNumberFormat="1" applyFill="1" applyAlignment="1">
      <alignment horizontal="center" vertical="center"/>
    </xf>
    <xf numFmtId="0" fontId="0" fillId="0" borderId="1" xfId="0" applyFill="1" applyBorder="1" applyAlignment="1">
      <alignment horizontal="center" vertical="center" wrapText="1"/>
    </xf>
    <xf numFmtId="183" fontId="0" fillId="0" borderId="1" xfId="0" applyNumberFormat="1" applyFill="1" applyBorder="1" applyAlignment="1">
      <alignment horizontal="center" vertical="center"/>
    </xf>
    <xf numFmtId="183" fontId="0" fillId="28" borderId="0" xfId="0" applyNumberFormat="1" applyFill="1" applyAlignment="1">
      <alignment horizontal="center" vertical="center"/>
    </xf>
    <xf numFmtId="183" fontId="0" fillId="27" borderId="1" xfId="0" applyNumberFormat="1" applyFill="1" applyBorder="1" applyAlignment="1">
      <alignment horizontal="center" vertical="center"/>
    </xf>
    <xf numFmtId="0" fontId="0" fillId="4" borderId="0" xfId="0" applyFill="1" applyAlignment="1">
      <alignment vertical="center"/>
    </xf>
    <xf numFmtId="1" fontId="46" fillId="25" borderId="1" xfId="0" applyNumberFormat="1" applyFont="1" applyFill="1" applyBorder="1" applyAlignment="1">
      <alignment horizontal="center" vertical="center" wrapText="1"/>
    </xf>
    <xf numFmtId="182" fontId="0" fillId="0" borderId="1" xfId="0" applyNumberFormat="1" applyBorder="1" applyAlignment="1">
      <alignment horizontal="center" vertical="center"/>
    </xf>
    <xf numFmtId="0" fontId="47" fillId="29" borderId="1" xfId="0" applyFont="1" applyFill="1" applyBorder="1" applyAlignment="1">
      <alignment horizontal="left" vertical="center"/>
    </xf>
    <xf numFmtId="182" fontId="42" fillId="30"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0" fontId="42" fillId="25" borderId="1" xfId="0" applyFont="1" applyFill="1" applyBorder="1" applyAlignment="1">
      <alignment horizontal="left" vertical="center"/>
    </xf>
    <xf numFmtId="10" fontId="42" fillId="25" borderId="1" xfId="0" applyNumberFormat="1" applyFont="1" applyFill="1" applyBorder="1" applyAlignment="1">
      <alignment horizontal="center" vertical="center"/>
    </xf>
    <xf numFmtId="182" fontId="42" fillId="25" borderId="1" xfId="0" applyNumberFormat="1" applyFont="1" applyFill="1" applyBorder="1" applyAlignment="1">
      <alignment horizontal="center" vertical="center"/>
    </xf>
    <xf numFmtId="0" fontId="42" fillId="25" borderId="1" xfId="0" applyFont="1" applyFill="1" applyBorder="1" applyAlignment="1">
      <alignment horizontal="center" vertical="center" wrapText="1"/>
    </xf>
    <xf numFmtId="184" fontId="42" fillId="31" borderId="1" xfId="0" applyNumberFormat="1" applyFont="1" applyFill="1" applyBorder="1" applyAlignment="1">
      <alignment horizontal="center" vertical="center" wrapText="1"/>
    </xf>
    <xf numFmtId="10" fontId="49" fillId="27" borderId="1" xfId="0" applyNumberFormat="1" applyFont="1" applyFill="1" applyBorder="1" applyAlignment="1">
      <alignment horizontal="center" vertical="center"/>
    </xf>
    <xf numFmtId="182" fontId="0" fillId="27" borderId="1" xfId="0" applyNumberFormat="1" applyFill="1" applyBorder="1" applyAlignment="1">
      <alignment horizontal="center" vertical="center"/>
    </xf>
    <xf numFmtId="10" fontId="50" fillId="0" borderId="1" xfId="0" applyNumberFormat="1" applyFont="1" applyFill="1" applyBorder="1" applyAlignment="1">
      <alignment horizontal="center" vertical="center"/>
    </xf>
    <xf numFmtId="9" fontId="0" fillId="0" borderId="1" xfId="0" applyNumberFormat="1" applyFill="1" applyBorder="1" applyAlignment="1">
      <alignment horizontal="center" vertical="center"/>
    </xf>
    <xf numFmtId="0" fontId="0" fillId="27" borderId="2" xfId="0" applyFont="1" applyFill="1" applyBorder="1" applyAlignment="1">
      <alignment horizontal="right" vertical="center"/>
    </xf>
    <xf numFmtId="0" fontId="0" fillId="27" borderId="1" xfId="0" applyFill="1" applyBorder="1" applyAlignment="1">
      <alignment vertical="center"/>
    </xf>
    <xf numFmtId="0" fontId="0" fillId="0" borderId="1" xfId="6" applyFont="1" applyBorder="1" applyAlignment="1" applyProtection="1">
      <alignment horizontal="center" vertical="center"/>
    </xf>
    <xf numFmtId="0" fontId="0" fillId="0" borderId="1" xfId="6" applyFont="1" applyBorder="1" applyAlignment="1" applyProtection="1">
      <alignment vertical="center"/>
    </xf>
    <xf numFmtId="0" fontId="42" fillId="30" borderId="1" xfId="0" applyFont="1" applyFill="1" applyBorder="1" applyAlignment="1">
      <alignment horizontal="center" vertical="center"/>
    </xf>
    <xf numFmtId="0" fontId="42" fillId="4" borderId="0" xfId="0" applyFont="1" applyFill="1" applyAlignment="1">
      <alignment vertical="center"/>
    </xf>
    <xf numFmtId="0" fontId="0" fillId="4" borderId="0" xfId="0" applyFill="1" applyAlignment="1">
      <alignment wrapText="1"/>
    </xf>
    <xf numFmtId="0" fontId="43" fillId="4" borderId="0" xfId="0" applyFont="1" applyFill="1" applyAlignment="1">
      <alignment vertical="center" wrapText="1"/>
    </xf>
    <xf numFmtId="184" fontId="42" fillId="31" borderId="1" xfId="0" applyNumberFormat="1" applyFont="1" applyFill="1" applyBorder="1" applyAlignment="1">
      <alignment horizontal="center" vertical="center"/>
    </xf>
    <xf numFmtId="0" fontId="0" fillId="4" borderId="2" xfId="0" applyFill="1" applyBorder="1" applyAlignment="1">
      <alignment horizontal="right" vertical="center"/>
    </xf>
    <xf numFmtId="0" fontId="0" fillId="4" borderId="4" xfId="0" applyFont="1" applyFill="1" applyBorder="1" applyAlignment="1">
      <alignment vertical="center"/>
    </xf>
    <xf numFmtId="10" fontId="0" fillId="0" borderId="1" xfId="3" applyNumberFormat="1" applyFont="1" applyBorder="1" applyAlignment="1" applyProtection="1">
      <alignment horizontal="center" vertical="center"/>
    </xf>
    <xf numFmtId="10" fontId="0" fillId="0" borderId="1" xfId="0" applyNumberFormat="1" applyFill="1" applyBorder="1" applyAlignment="1">
      <alignment horizontal="center" vertical="center"/>
    </xf>
    <xf numFmtId="10" fontId="42" fillId="30" borderId="1" xfId="0" applyNumberFormat="1" applyFont="1" applyFill="1" applyBorder="1" applyAlignment="1">
      <alignment horizontal="center" vertical="center"/>
    </xf>
    <xf numFmtId="0" fontId="42" fillId="0" borderId="1" xfId="0" applyFont="1" applyBorder="1" applyAlignment="1">
      <alignment vertical="center"/>
    </xf>
    <xf numFmtId="182" fontId="45" fillId="0" borderId="1" xfId="0" applyNumberFormat="1" applyFont="1" applyBorder="1" applyAlignment="1">
      <alignment horizontal="center" vertical="center"/>
    </xf>
    <xf numFmtId="10" fontId="45" fillId="4" borderId="1" xfId="0" applyNumberFormat="1" applyFont="1" applyFill="1" applyBorder="1" applyAlignment="1">
      <alignment horizontal="center" vertical="center"/>
    </xf>
    <xf numFmtId="10" fontId="45" fillId="0" borderId="1" xfId="0" applyNumberFormat="1" applyFont="1" applyBorder="1" applyAlignment="1">
      <alignment horizontal="center" vertical="center"/>
    </xf>
    <xf numFmtId="10" fontId="54" fillId="0" borderId="1" xfId="0" applyNumberFormat="1" applyFont="1" applyBorder="1" applyAlignment="1">
      <alignment horizontal="center" vertical="center"/>
    </xf>
    <xf numFmtId="10" fontId="54" fillId="0" borderId="1" xfId="6" applyNumberFormat="1" applyFont="1" applyBorder="1" applyAlignment="1" applyProtection="1">
      <alignment horizontal="center" vertical="center"/>
    </xf>
    <xf numFmtId="10" fontId="43" fillId="4" borderId="0" xfId="0" applyNumberFormat="1" applyFont="1" applyFill="1" applyAlignment="1">
      <alignment vertical="center"/>
    </xf>
    <xf numFmtId="0" fontId="45" fillId="0" borderId="1" xfId="0" applyFont="1" applyBorder="1" applyAlignment="1">
      <alignment horizontal="center" vertical="center"/>
    </xf>
    <xf numFmtId="182" fontId="42" fillId="30" borderId="1" xfId="0" applyNumberFormat="1" applyFont="1" applyFill="1" applyBorder="1" applyAlignment="1">
      <alignment horizontal="center" vertical="center" wrapText="1"/>
    </xf>
    <xf numFmtId="10" fontId="58" fillId="0" borderId="1" xfId="0" applyNumberFormat="1" applyFont="1" applyBorder="1" applyAlignment="1">
      <alignment horizontal="center" vertical="center"/>
    </xf>
    <xf numFmtId="0" fontId="42" fillId="33" borderId="1" xfId="0" applyFont="1" applyFill="1" applyBorder="1" applyAlignment="1">
      <alignment horizontal="center" vertical="center"/>
    </xf>
    <xf numFmtId="0" fontId="42" fillId="0" borderId="0" xfId="0" applyFont="1" applyFill="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xf>
    <xf numFmtId="0" fontId="42" fillId="25" borderId="1" xfId="0" applyFont="1" applyFill="1" applyBorder="1" applyAlignment="1">
      <alignment horizontal="center" vertical="center"/>
    </xf>
    <xf numFmtId="0" fontId="42" fillId="25" borderId="1" xfId="0" applyFont="1" applyFill="1" applyBorder="1" applyAlignment="1">
      <alignment vertical="center"/>
    </xf>
    <xf numFmtId="0" fontId="42" fillId="30" borderId="1" xfId="0" applyFont="1" applyFill="1" applyBorder="1" applyAlignment="1">
      <alignment horizontal="center" vertical="center"/>
    </xf>
    <xf numFmtId="0" fontId="42" fillId="25" borderId="1" xfId="0" applyFont="1" applyFill="1" applyBorder="1" applyAlignment="1">
      <alignment horizontal="left" vertical="center"/>
    </xf>
    <xf numFmtId="0" fontId="0" fillId="27" borderId="2" xfId="0" applyFont="1" applyFill="1" applyBorder="1" applyAlignment="1">
      <alignment horizontal="right" vertical="center"/>
    </xf>
    <xf numFmtId="0" fontId="42" fillId="25" borderId="1" xfId="0" applyFont="1" applyFill="1" applyBorder="1" applyAlignment="1">
      <alignment horizontal="center" vertical="center" wrapText="1"/>
    </xf>
    <xf numFmtId="0" fontId="42" fillId="33"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29" fillId="0" borderId="8" xfId="0" applyFont="1" applyBorder="1" applyAlignment="1">
      <alignment horizontal="left" wrapText="1"/>
    </xf>
    <xf numFmtId="0" fontId="29" fillId="0" borderId="9" xfId="0" applyFont="1" applyBorder="1" applyAlignment="1">
      <alignment horizontal="left" wrapText="1"/>
    </xf>
    <xf numFmtId="0" fontId="27" fillId="13" borderId="0" xfId="5" applyFont="1" applyFill="1" applyBorder="1" applyAlignment="1">
      <alignment horizontal="center"/>
    </xf>
    <xf numFmtId="0" fontId="31" fillId="13" borderId="0" xfId="5" applyFont="1" applyFill="1" applyBorder="1" applyAlignment="1">
      <alignment horizontal="center"/>
    </xf>
    <xf numFmtId="0" fontId="32" fillId="14" borderId="2"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31" fillId="13" borderId="0" xfId="5" applyFont="1" applyFill="1" applyBorder="1" applyAlignment="1">
      <alignment horizontal="center" vertical="center"/>
    </xf>
    <xf numFmtId="0" fontId="32" fillId="14" borderId="1" xfId="0" applyFont="1" applyFill="1" applyBorder="1" applyAlignment="1">
      <alignment horizontal="center" vertical="center" wrapText="1"/>
    </xf>
    <xf numFmtId="0" fontId="32" fillId="15" borderId="1" xfId="0" applyFont="1" applyFill="1" applyBorder="1" applyAlignment="1">
      <alignment horizontal="center" vertical="center" wrapText="1"/>
    </xf>
    <xf numFmtId="0" fontId="31" fillId="13" borderId="8" xfId="5" applyFont="1" applyFill="1" applyBorder="1" applyAlignment="1">
      <alignment horizontal="center" vertical="center" wrapText="1"/>
    </xf>
    <xf numFmtId="0" fontId="31" fillId="13" borderId="0" xfId="5" applyFont="1" applyFill="1" applyBorder="1" applyAlignment="1">
      <alignment horizontal="center" vertical="center" wrapText="1"/>
    </xf>
    <xf numFmtId="0" fontId="31" fillId="0" borderId="1" xfId="5" applyFont="1" applyFill="1" applyBorder="1" applyAlignment="1">
      <alignment horizontal="left" vertical="center" wrapText="1"/>
    </xf>
    <xf numFmtId="0" fontId="27" fillId="12" borderId="1" xfId="5" applyFont="1" applyFill="1" applyBorder="1" applyAlignment="1">
      <alignment horizontal="center" vertical="center"/>
    </xf>
    <xf numFmtId="164" fontId="32" fillId="14" borderId="2" xfId="4" applyFont="1" applyFill="1" applyBorder="1" applyAlignment="1">
      <alignment horizontal="center" vertical="center" wrapText="1"/>
    </xf>
    <xf numFmtId="164" fontId="32" fillId="14" borderId="4" xfId="4" applyFont="1" applyFill="1" applyBorder="1" applyAlignment="1">
      <alignment horizontal="center" vertical="center" wrapText="1"/>
    </xf>
    <xf numFmtId="0" fontId="27" fillId="0" borderId="1" xfId="5" applyFont="1" applyFill="1" applyBorder="1" applyAlignment="1">
      <alignment horizontal="center" vertical="center" wrapText="1"/>
    </xf>
    <xf numFmtId="0" fontId="28" fillId="13" borderId="1" xfId="5" applyFont="1" applyFill="1" applyBorder="1" applyAlignment="1">
      <alignment horizontal="center" vertical="top" wrapText="1"/>
    </xf>
    <xf numFmtId="0" fontId="27" fillId="12" borderId="1" xfId="5" applyFont="1" applyFill="1" applyBorder="1" applyAlignment="1">
      <alignment horizontal="center" vertical="center" wrapText="1"/>
    </xf>
    <xf numFmtId="4" fontId="35" fillId="0" borderId="1" xfId="5" applyNumberFormat="1" applyFont="1" applyFill="1" applyBorder="1" applyAlignment="1">
      <alignment horizontal="right"/>
    </xf>
    <xf numFmtId="180" fontId="35" fillId="20" borderId="1" xfId="5" applyNumberFormat="1" applyFont="1" applyFill="1" applyBorder="1" applyAlignment="1">
      <alignment horizontal="center"/>
    </xf>
    <xf numFmtId="0" fontId="35" fillId="3" borderId="1" xfId="5" applyFont="1" applyFill="1" applyBorder="1" applyAlignment="1">
      <alignment horizontal="center"/>
    </xf>
    <xf numFmtId="0" fontId="2" fillId="0" borderId="1" xfId="0" applyFont="1" applyBorder="1" applyAlignment="1">
      <alignment horizontal="center" vertical="center"/>
    </xf>
    <xf numFmtId="0" fontId="34" fillId="0" borderId="1" xfId="5" applyFont="1" applyFill="1" applyBorder="1" applyAlignment="1">
      <alignment horizontal="center" vertical="center" wrapText="1"/>
    </xf>
    <xf numFmtId="49" fontId="35" fillId="0" borderId="1" xfId="5" applyNumberFormat="1" applyFont="1" applyFill="1" applyBorder="1" applyAlignment="1">
      <alignment horizontal="center" vertical="center" wrapText="1"/>
    </xf>
    <xf numFmtId="49" fontId="35" fillId="0" borderId="1" xfId="5" applyNumberFormat="1" applyFont="1" applyFill="1" applyBorder="1" applyAlignment="1">
      <alignment horizontal="center" vertical="center"/>
    </xf>
    <xf numFmtId="49" fontId="34" fillId="0" borderId="1" xfId="5" applyNumberFormat="1" applyFont="1" applyFill="1" applyBorder="1" applyAlignment="1">
      <alignment horizontal="center"/>
    </xf>
    <xf numFmtId="4" fontId="34" fillId="0" borderId="1" xfId="5" applyNumberFormat="1" applyFont="1" applyFill="1" applyBorder="1" applyAlignment="1">
      <alignment horizontal="center"/>
    </xf>
    <xf numFmtId="179" fontId="35" fillId="0" borderId="1" xfId="5" applyNumberFormat="1" applyFont="1" applyFill="1" applyBorder="1" applyAlignment="1">
      <alignment horizontal="center"/>
    </xf>
    <xf numFmtId="0" fontId="0" fillId="0" borderId="1" xfId="0" applyBorder="1" applyAlignment="1">
      <alignment horizontal="center"/>
    </xf>
    <xf numFmtId="0" fontId="34" fillId="0" borderId="0" xfId="5" applyFont="1" applyFill="1" applyBorder="1" applyAlignment="1">
      <alignment horizontal="center" vertical="center" wrapText="1"/>
    </xf>
    <xf numFmtId="0" fontId="33" fillId="0" borderId="0" xfId="5" applyFont="1" applyFill="1" applyBorder="1" applyAlignment="1">
      <alignment horizontal="center" vertical="center"/>
    </xf>
    <xf numFmtId="0" fontId="35" fillId="0" borderId="0" xfId="5" applyFont="1" applyFill="1" applyBorder="1" applyAlignment="1">
      <alignment horizontal="center" wrapText="1"/>
    </xf>
    <xf numFmtId="0" fontId="34" fillId="19" borderId="1" xfId="0" applyFont="1" applyFill="1" applyBorder="1" applyAlignment="1">
      <alignment horizontal="left" wrapText="1"/>
    </xf>
    <xf numFmtId="0" fontId="34" fillId="19" borderId="1" xfId="0" applyFont="1" applyFill="1" applyBorder="1" applyAlignment="1">
      <alignment horizontal="center" wrapText="1"/>
    </xf>
    <xf numFmtId="0" fontId="28" fillId="19" borderId="2" xfId="0" applyFont="1" applyFill="1" applyBorder="1" applyAlignment="1">
      <alignment horizontal="left" wrapText="1"/>
    </xf>
    <xf numFmtId="0" fontId="28" fillId="19" borderId="3" xfId="0" applyFont="1" applyFill="1" applyBorder="1" applyAlignment="1">
      <alignment horizontal="left" wrapText="1"/>
    </xf>
    <xf numFmtId="49" fontId="35" fillId="19" borderId="1" xfId="0" applyNumberFormat="1" applyFont="1" applyFill="1" applyBorder="1" applyAlignment="1">
      <alignment horizontal="left" wrapText="1"/>
    </xf>
    <xf numFmtId="0" fontId="35" fillId="0" borderId="1" xfId="5" applyFont="1" applyFill="1" applyBorder="1" applyAlignment="1">
      <alignment horizontal="center" vertical="center" wrapText="1"/>
    </xf>
    <xf numFmtId="0" fontId="35" fillId="21" borderId="1" xfId="5" applyFont="1" applyFill="1" applyBorder="1" applyAlignment="1">
      <alignment horizontal="center" vertical="center"/>
    </xf>
    <xf numFmtId="0" fontId="35" fillId="0" borderId="0" xfId="5" applyFont="1" applyFill="1" applyBorder="1" applyAlignment="1">
      <alignment horizontal="center"/>
    </xf>
    <xf numFmtId="0" fontId="37" fillId="23" borderId="0" xfId="0" applyFont="1" applyFill="1" applyBorder="1" applyAlignment="1">
      <alignment horizontal="left" vertical="center" wrapText="1"/>
    </xf>
    <xf numFmtId="4" fontId="34" fillId="0" borderId="2" xfId="5" applyNumberFormat="1" applyFont="1" applyFill="1" applyBorder="1" applyAlignment="1">
      <alignment horizontal="left" wrapText="1"/>
    </xf>
    <xf numFmtId="4" fontId="34" fillId="0" borderId="3" xfId="5" applyNumberFormat="1" applyFont="1" applyFill="1" applyBorder="1" applyAlignment="1">
      <alignment horizontal="left"/>
    </xf>
    <xf numFmtId="4" fontId="34" fillId="0" borderId="4" xfId="5" applyNumberFormat="1" applyFont="1" applyFill="1" applyBorder="1" applyAlignment="1">
      <alignment horizontal="left"/>
    </xf>
    <xf numFmtId="0" fontId="35" fillId="0" borderId="1" xfId="5" applyNumberFormat="1" applyFont="1" applyFill="1" applyBorder="1" applyAlignment="1">
      <alignment horizontal="right"/>
    </xf>
    <xf numFmtId="4" fontId="35" fillId="22" borderId="1" xfId="5" applyNumberFormat="1" applyFont="1" applyFill="1" applyBorder="1" applyAlignment="1">
      <alignment horizontal="right"/>
    </xf>
    <xf numFmtId="0" fontId="35" fillId="21" borderId="1" xfId="5" applyFont="1" applyFill="1" applyBorder="1" applyAlignment="1">
      <alignment horizontal="center"/>
    </xf>
    <xf numFmtId="4" fontId="34" fillId="0" borderId="3" xfId="5" applyNumberFormat="1" applyFont="1" applyFill="1" applyBorder="1" applyAlignment="1">
      <alignment horizontal="left" wrapText="1"/>
    </xf>
    <xf numFmtId="4" fontId="34" fillId="0" borderId="4" xfId="5" applyNumberFormat="1" applyFont="1" applyFill="1" applyBorder="1" applyAlignment="1">
      <alignment horizontal="left" wrapText="1"/>
    </xf>
    <xf numFmtId="4" fontId="34" fillId="0" borderId="2" xfId="5" applyNumberFormat="1" applyFont="1" applyFill="1" applyBorder="1" applyAlignment="1">
      <alignment horizontal="left"/>
    </xf>
    <xf numFmtId="4" fontId="35" fillId="0" borderId="2" xfId="5" applyNumberFormat="1" applyFont="1" applyFill="1" applyBorder="1" applyAlignment="1">
      <alignment horizontal="right"/>
    </xf>
    <xf numFmtId="4" fontId="35" fillId="0" borderId="4" xfId="5" applyNumberFormat="1" applyFont="1" applyFill="1" applyBorder="1" applyAlignment="1">
      <alignment horizontal="right"/>
    </xf>
    <xf numFmtId="4" fontId="35" fillId="0" borderId="1" xfId="5" applyNumberFormat="1" applyFont="1" applyFill="1" applyBorder="1" applyAlignment="1">
      <alignment horizontal="center"/>
    </xf>
    <xf numFmtId="4" fontId="35" fillId="0" borderId="6" xfId="5" applyNumberFormat="1" applyFont="1" applyFill="1" applyBorder="1" applyAlignment="1">
      <alignment horizontal="center"/>
    </xf>
    <xf numFmtId="4" fontId="35" fillId="6" borderId="6" xfId="5" applyNumberFormat="1" applyFont="1" applyFill="1" applyBorder="1" applyAlignment="1">
      <alignment horizontal="right"/>
    </xf>
    <xf numFmtId="0" fontId="23" fillId="0" borderId="1" xfId="0" applyFont="1" applyBorder="1" applyAlignment="1">
      <alignment vertical="center"/>
    </xf>
    <xf numFmtId="0" fontId="22" fillId="0" borderId="1" xfId="0" applyFont="1" applyBorder="1" applyAlignment="1">
      <alignment vertical="center"/>
    </xf>
    <xf numFmtId="0" fontId="22" fillId="2" borderId="1" xfId="0" applyFont="1" applyFill="1" applyBorder="1" applyAlignment="1">
      <alignment horizontal="center" vertical="center"/>
    </xf>
    <xf numFmtId="0" fontId="22" fillId="0" borderId="0" xfId="0" applyFont="1" applyAlignment="1">
      <alignment horizontal="center" vertical="center"/>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3" fillId="0" borderId="1" xfId="0" applyFont="1" applyBorder="1" applyAlignment="1">
      <alignment vertical="center" wrapText="1"/>
    </xf>
    <xf numFmtId="0" fontId="22" fillId="2" borderId="1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2" xfId="0" applyFont="1" applyFill="1" applyBorder="1" applyAlignment="1">
      <alignment horizontal="center" vertical="center"/>
    </xf>
    <xf numFmtId="0" fontId="22" fillId="0" borderId="5" xfId="0" applyFont="1" applyBorder="1" applyAlignment="1">
      <alignment horizontal="center" vertical="center"/>
    </xf>
    <xf numFmtId="0" fontId="22" fillId="2" borderId="1" xfId="0" applyFont="1" applyFill="1" applyBorder="1" applyAlignment="1">
      <alignment horizontal="center" vertical="center" wrapText="1"/>
    </xf>
    <xf numFmtId="0" fontId="22" fillId="3" borderId="1" xfId="0" applyFont="1" applyFill="1" applyBorder="1" applyAlignment="1">
      <alignment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10" fontId="23" fillId="0" borderId="6" xfId="3" applyNumberFormat="1" applyFont="1" applyBorder="1" applyAlignment="1">
      <alignment horizontal="center" vertical="center"/>
    </xf>
    <xf numFmtId="10" fontId="23" fillId="0" borderId="10" xfId="3" applyNumberFormat="1" applyFont="1" applyBorder="1" applyAlignment="1">
      <alignment horizontal="center" vertical="center"/>
    </xf>
    <xf numFmtId="44" fontId="23" fillId="0" borderId="6" xfId="2" applyFont="1" applyBorder="1" applyAlignment="1">
      <alignment horizontal="center" vertical="center"/>
    </xf>
    <xf numFmtId="44" fontId="23" fillId="0" borderId="10" xfId="2" applyFont="1" applyBorder="1" applyAlignment="1">
      <alignment horizontal="center" vertical="center"/>
    </xf>
    <xf numFmtId="0" fontId="23" fillId="4" borderId="11" xfId="0" applyFont="1" applyFill="1" applyBorder="1" applyAlignment="1">
      <alignment vertical="center" wrapText="1"/>
    </xf>
    <xf numFmtId="0" fontId="23" fillId="4" borderId="5" xfId="0" applyFont="1" applyFill="1" applyBorder="1" applyAlignment="1">
      <alignment vertical="center" wrapText="1"/>
    </xf>
    <xf numFmtId="0" fontId="23" fillId="4" borderId="12" xfId="0" applyFont="1" applyFill="1" applyBorder="1" applyAlignment="1">
      <alignment vertical="center" wrapText="1"/>
    </xf>
    <xf numFmtId="0" fontId="23" fillId="0" borderId="13" xfId="0" applyFont="1" applyBorder="1" applyAlignment="1">
      <alignment vertical="center"/>
    </xf>
    <xf numFmtId="0" fontId="23" fillId="0" borderId="0" xfId="0" applyFont="1" applyBorder="1" applyAlignment="1">
      <alignment vertical="center"/>
    </xf>
    <xf numFmtId="0" fontId="23" fillId="0" borderId="14" xfId="0" applyFont="1" applyBorder="1" applyAlignment="1">
      <alignment vertical="center"/>
    </xf>
    <xf numFmtId="0" fontId="4" fillId="0" borderId="0" xfId="0" applyFont="1" applyAlignment="1">
      <alignment horizontal="lef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1" xfId="0" applyFont="1" applyBorder="1" applyAlignment="1">
      <alignment vertical="center"/>
    </xf>
    <xf numFmtId="0" fontId="23" fillId="0" borderId="5"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4" borderId="13" xfId="0" applyFont="1" applyFill="1" applyBorder="1" applyAlignment="1">
      <alignment vertical="center" wrapText="1"/>
    </xf>
    <xf numFmtId="0" fontId="23" fillId="4" borderId="0" xfId="0" applyFont="1" applyFill="1" applyBorder="1" applyAlignment="1">
      <alignment vertical="center" wrapText="1"/>
    </xf>
    <xf numFmtId="0" fontId="23" fillId="4" borderId="14" xfId="0" applyFont="1" applyFill="1" applyBorder="1" applyAlignment="1">
      <alignment vertical="center" wrapText="1"/>
    </xf>
    <xf numFmtId="0" fontId="23" fillId="0" borderId="11" xfId="0" applyFont="1" applyBorder="1" applyAlignment="1">
      <alignment vertical="center" wrapText="1"/>
    </xf>
    <xf numFmtId="0" fontId="23" fillId="0" borderId="5" xfId="0" applyFont="1" applyBorder="1" applyAlignment="1">
      <alignment vertical="center" wrapText="1"/>
    </xf>
    <xf numFmtId="0" fontId="23" fillId="0" borderId="12" xfId="0" applyFont="1" applyBorder="1" applyAlignment="1">
      <alignment vertical="center" wrapText="1"/>
    </xf>
    <xf numFmtId="0" fontId="23" fillId="0" borderId="6" xfId="0" applyFont="1" applyBorder="1" applyAlignment="1">
      <alignment vertical="center" wrapText="1"/>
    </xf>
    <xf numFmtId="10" fontId="23" fillId="0" borderId="10" xfId="0" applyNumberFormat="1" applyFont="1" applyBorder="1" applyAlignment="1">
      <alignment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10" fontId="23" fillId="0" borderId="6" xfId="0" applyNumberFormat="1" applyFont="1" applyBorder="1" applyAlignment="1">
      <alignment horizontal="center" vertical="center"/>
    </xf>
    <xf numFmtId="10" fontId="23" fillId="0" borderId="10" xfId="0" applyNumberFormat="1" applyFont="1" applyBorder="1" applyAlignment="1">
      <alignment horizontal="center" vertical="center"/>
    </xf>
    <xf numFmtId="10" fontId="23" fillId="0" borderId="11" xfId="0" applyNumberFormat="1" applyFont="1" applyBorder="1" applyAlignment="1">
      <alignmen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3" fillId="9" borderId="4" xfId="0" applyFont="1" applyFill="1" applyBorder="1" applyAlignment="1">
      <alignment vertical="center"/>
    </xf>
    <xf numFmtId="0" fontId="23" fillId="0" borderId="4" xfId="0" applyFont="1" applyBorder="1" applyAlignment="1">
      <alignment vertical="center"/>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3" fillId="0" borderId="7" xfId="0" applyFont="1" applyBorder="1" applyAlignment="1">
      <alignment horizontal="center" vertical="center"/>
    </xf>
    <xf numFmtId="0" fontId="23" fillId="0" borderId="11" xfId="0" applyFont="1" applyBorder="1" applyAlignment="1">
      <alignment horizontal="center" vertical="center"/>
    </xf>
    <xf numFmtId="10" fontId="23" fillId="4" borderId="6" xfId="0" applyNumberFormat="1" applyFont="1" applyFill="1" applyBorder="1" applyAlignment="1">
      <alignment horizontal="center" vertical="center"/>
    </xf>
    <xf numFmtId="10" fontId="23" fillId="4" borderId="10" xfId="0" applyNumberFormat="1" applyFont="1" applyFill="1" applyBorder="1" applyAlignment="1">
      <alignment horizontal="center" vertical="center"/>
    </xf>
    <xf numFmtId="0" fontId="4" fillId="0" borderId="0" xfId="0" applyFont="1" applyAlignment="1">
      <alignmen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0" borderId="8" xfId="0" applyFont="1" applyFill="1" applyBorder="1" applyAlignment="1">
      <alignment horizontal="left" vertical="center"/>
    </xf>
    <xf numFmtId="0" fontId="4" fillId="0" borderId="13" xfId="0" quotePrefix="1" applyFont="1" applyBorder="1" applyAlignment="1">
      <alignment horizontal="left" vertical="center"/>
    </xf>
    <xf numFmtId="0" fontId="4" fillId="0" borderId="0" xfId="0" quotePrefix="1" applyFont="1" applyAlignment="1">
      <alignment horizontal="left" vertical="center"/>
    </xf>
    <xf numFmtId="49" fontId="4" fillId="0" borderId="13" xfId="0" quotePrefix="1" applyNumberFormat="1" applyFont="1" applyBorder="1" applyAlignment="1">
      <alignment horizontal="left" vertical="center"/>
    </xf>
    <xf numFmtId="49" fontId="4" fillId="0" borderId="0" xfId="0" quotePrefix="1" applyNumberFormat="1" applyFont="1" applyAlignment="1">
      <alignment horizontal="left" vertical="center"/>
    </xf>
    <xf numFmtId="44" fontId="24" fillId="4" borderId="6" xfId="2" applyFont="1" applyFill="1" applyBorder="1" applyAlignment="1">
      <alignment horizontal="center" vertical="center"/>
    </xf>
    <xf numFmtId="44" fontId="24" fillId="4" borderId="10" xfId="2" applyFont="1" applyFill="1" applyBorder="1" applyAlignment="1">
      <alignment horizontal="center" vertical="center"/>
    </xf>
    <xf numFmtId="165" fontId="4" fillId="0" borderId="0" xfId="0" applyNumberFormat="1" applyFont="1" applyAlignment="1">
      <alignment vertical="center"/>
    </xf>
    <xf numFmtId="44" fontId="23" fillId="4" borderId="6" xfId="2" applyFont="1" applyFill="1" applyBorder="1" applyAlignment="1">
      <alignment horizontal="center" vertical="center"/>
    </xf>
    <xf numFmtId="44" fontId="23" fillId="4" borderId="10" xfId="2" applyFont="1" applyFill="1" applyBorder="1" applyAlignment="1">
      <alignment horizontal="center" vertical="center"/>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1" xfId="0" applyFont="1" applyBorder="1" applyAlignment="1">
      <alignment horizontal="center" vertical="center"/>
    </xf>
    <xf numFmtId="14" fontId="23"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165" fontId="22" fillId="6" borderId="1" xfId="2" applyNumberFormat="1" applyFont="1" applyFill="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174" fontId="23" fillId="0" borderId="1" xfId="0" applyNumberFormat="1"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2" fillId="4" borderId="1" xfId="0" applyFont="1" applyFill="1" applyBorder="1" applyAlignment="1">
      <alignment horizontal="center" vertical="center"/>
    </xf>
    <xf numFmtId="17" fontId="23" fillId="0" borderId="2" xfId="0" applyNumberFormat="1" applyFont="1" applyBorder="1" applyAlignment="1">
      <alignment vertical="center"/>
    </xf>
    <xf numFmtId="0" fontId="42" fillId="25" borderId="1" xfId="0" applyFont="1" applyFill="1" applyBorder="1" applyAlignment="1">
      <alignment horizontal="center" vertical="center"/>
    </xf>
    <xf numFmtId="0" fontId="42" fillId="25" borderId="1" xfId="0" applyFont="1" applyFill="1" applyBorder="1" applyAlignment="1">
      <alignment vertical="center"/>
    </xf>
    <xf numFmtId="0" fontId="0" fillId="27" borderId="1" xfId="0" applyFill="1" applyBorder="1" applyAlignment="1">
      <alignment horizontal="left" vertical="center"/>
    </xf>
    <xf numFmtId="0" fontId="0" fillId="0" borderId="1" xfId="0" applyBorder="1" applyAlignment="1">
      <alignment horizontal="left" vertical="center"/>
    </xf>
    <xf numFmtId="14" fontId="0" fillId="27" borderId="1" xfId="0" applyNumberFormat="1" applyFill="1" applyBorder="1" applyAlignment="1">
      <alignment horizontal="left" vertical="center"/>
    </xf>
    <xf numFmtId="0" fontId="0" fillId="27" borderId="1" xfId="0" applyFont="1" applyFill="1" applyBorder="1" applyAlignment="1">
      <alignment horizontal="left" vertical="center"/>
    </xf>
    <xf numFmtId="0" fontId="0" fillId="27" borderId="1" xfId="0" applyFill="1" applyBorder="1"/>
    <xf numFmtId="0" fontId="0" fillId="27" borderId="1" xfId="0" applyFill="1" applyBorder="1" applyAlignment="1">
      <alignment horizontal="left" vertical="center" wrapText="1"/>
    </xf>
    <xf numFmtId="0" fontId="0" fillId="27"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0" fillId="0" borderId="1" xfId="0" applyFont="1" applyBorder="1" applyAlignment="1">
      <alignment horizontal="left" vertical="center"/>
    </xf>
    <xf numFmtId="0" fontId="42" fillId="30" borderId="1" xfId="0" applyFont="1" applyFill="1" applyBorder="1" applyAlignment="1">
      <alignment horizontal="center" vertical="center"/>
    </xf>
    <xf numFmtId="0" fontId="0" fillId="4" borderId="3" xfId="0" applyFill="1" applyBorder="1"/>
    <xf numFmtId="0" fontId="42" fillId="25" borderId="1" xfId="0" applyFont="1" applyFill="1" applyBorder="1" applyAlignment="1">
      <alignment horizontal="left" vertical="center"/>
    </xf>
    <xf numFmtId="0" fontId="0" fillId="27" borderId="2" xfId="0" applyFont="1" applyFill="1" applyBorder="1" applyAlignment="1">
      <alignment horizontal="left" vertical="center"/>
    </xf>
    <xf numFmtId="0" fontId="0" fillId="27" borderId="3" xfId="0" applyFont="1" applyFill="1" applyBorder="1" applyAlignment="1">
      <alignment horizontal="left" vertical="center"/>
    </xf>
    <xf numFmtId="0" fontId="0" fillId="27" borderId="4" xfId="0" applyFont="1" applyFill="1" applyBorder="1" applyAlignment="1">
      <alignment horizontal="left" vertical="center"/>
    </xf>
    <xf numFmtId="0" fontId="0" fillId="27" borderId="2" xfId="0" applyFont="1" applyFill="1" applyBorder="1" applyAlignment="1">
      <alignment horizontal="right" vertical="center"/>
    </xf>
    <xf numFmtId="0" fontId="0" fillId="27" borderId="4" xfId="0" applyFont="1" applyFill="1" applyBorder="1" applyAlignment="1">
      <alignment horizontal="right" vertical="center"/>
    </xf>
    <xf numFmtId="1" fontId="46" fillId="25" borderId="6" xfId="0" applyNumberFormat="1" applyFont="1" applyFill="1" applyBorder="1" applyAlignment="1">
      <alignment horizontal="center" vertical="center" wrapText="1"/>
    </xf>
    <xf numFmtId="1" fontId="46" fillId="25" borderId="10" xfId="0" applyNumberFormat="1" applyFont="1" applyFill="1" applyBorder="1" applyAlignment="1">
      <alignment horizontal="center" vertical="center" wrapText="1"/>
    </xf>
    <xf numFmtId="0" fontId="0" fillId="25" borderId="1" xfId="0" applyFont="1" applyFill="1" applyBorder="1" applyAlignment="1">
      <alignment horizontal="left" vertical="center"/>
    </xf>
    <xf numFmtId="0" fontId="42" fillId="27" borderId="1" xfId="0" applyFont="1" applyFill="1" applyBorder="1" applyAlignment="1">
      <alignment horizontal="left" vertical="center"/>
    </xf>
    <xf numFmtId="0" fontId="42" fillId="0" borderId="1" xfId="0" applyFont="1" applyBorder="1" applyAlignment="1">
      <alignment horizontal="left" vertical="center"/>
    </xf>
    <xf numFmtId="0" fontId="0" fillId="25" borderId="1" xfId="0" applyFill="1" applyBorder="1"/>
    <xf numFmtId="0" fontId="42" fillId="25" borderId="1" xfId="0" applyFont="1" applyFill="1" applyBorder="1" applyAlignment="1">
      <alignment horizontal="left" vertical="center" wrapText="1"/>
    </xf>
    <xf numFmtId="0" fontId="42" fillId="31" borderId="1" xfId="0" applyFont="1" applyFill="1" applyBorder="1" applyAlignment="1">
      <alignment horizontal="right" vertical="center" wrapText="1"/>
    </xf>
    <xf numFmtId="175" fontId="0" fillId="0" borderId="3" xfId="0" applyNumberFormat="1" applyFill="1" applyBorder="1" applyAlignment="1">
      <alignment horizontal="left" vertical="center"/>
    </xf>
    <xf numFmtId="175" fontId="0" fillId="0" borderId="4" xfId="0" applyNumberFormat="1" applyFill="1" applyBorder="1" applyAlignment="1">
      <alignment horizontal="left" vertical="center"/>
    </xf>
    <xf numFmtId="0" fontId="0" fillId="28" borderId="47" xfId="0" applyFill="1" applyBorder="1"/>
    <xf numFmtId="0" fontId="51" fillId="25" borderId="1" xfId="0" applyFont="1" applyFill="1" applyBorder="1" applyAlignment="1">
      <alignment horizontal="left" vertical="center"/>
    </xf>
    <xf numFmtId="0" fontId="42" fillId="31" borderId="1" xfId="0" applyFont="1" applyFill="1" applyBorder="1" applyAlignment="1">
      <alignment horizontal="right" vertical="center"/>
    </xf>
    <xf numFmtId="0" fontId="42" fillId="31" borderId="3" xfId="0" applyFont="1" applyFill="1" applyBorder="1" applyAlignment="1">
      <alignment horizontal="right" vertical="center"/>
    </xf>
    <xf numFmtId="0" fontId="42" fillId="31" borderId="4" xfId="0" applyFont="1" applyFill="1" applyBorder="1" applyAlignment="1">
      <alignment horizontal="right" vertical="center"/>
    </xf>
    <xf numFmtId="0" fontId="0" fillId="0" borderId="1" xfId="0" applyFill="1" applyBorder="1" applyAlignment="1">
      <alignment horizontal="left" vertical="center"/>
    </xf>
    <xf numFmtId="0" fontId="42" fillId="2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2" xfId="0" applyFont="1" applyFill="1" applyBorder="1" applyAlignment="1">
      <alignment horizontal="right" vertical="center"/>
    </xf>
    <xf numFmtId="0" fontId="0" fillId="4" borderId="3" xfId="0" applyFont="1" applyFill="1" applyBorder="1" applyAlignment="1">
      <alignment horizontal="right" vertical="center"/>
    </xf>
    <xf numFmtId="9" fontId="0" fillId="4" borderId="3" xfId="0" applyNumberFormat="1" applyFill="1" applyBorder="1" applyAlignment="1">
      <alignment horizontal="left" vertical="center"/>
    </xf>
    <xf numFmtId="9" fontId="0" fillId="4" borderId="4" xfId="0" applyNumberFormat="1" applyFill="1" applyBorder="1" applyAlignment="1">
      <alignment horizontal="left" vertical="center"/>
    </xf>
    <xf numFmtId="0" fontId="0" fillId="0" borderId="1" xfId="0" applyFont="1" applyBorder="1" applyAlignment="1">
      <alignment horizontal="left" vertical="center" wrapText="1"/>
    </xf>
    <xf numFmtId="0" fontId="42" fillId="31" borderId="2" xfId="0" applyFont="1" applyFill="1" applyBorder="1" applyAlignment="1">
      <alignment horizontal="right" vertical="center"/>
    </xf>
    <xf numFmtId="0" fontId="0" fillId="4" borderId="1" xfId="0" applyFill="1" applyBorder="1"/>
    <xf numFmtId="0" fontId="0" fillId="0" borderId="1" xfId="0" applyFont="1" applyBorder="1" applyAlignment="1">
      <alignment horizontal="center"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0" fillId="0" borderId="1" xfId="0" applyFont="1" applyBorder="1" applyAlignment="1">
      <alignment vertical="center" wrapText="1"/>
    </xf>
    <xf numFmtId="0" fontId="53" fillId="32" borderId="1" xfId="0" applyFont="1" applyFill="1" applyBorder="1" applyAlignment="1">
      <alignment horizontal="center" vertical="center" wrapText="1"/>
    </xf>
    <xf numFmtId="0" fontId="42" fillId="30" borderId="1" xfId="0" applyFont="1" applyFill="1" applyBorder="1" applyAlignment="1">
      <alignment horizontal="left" vertical="center"/>
    </xf>
    <xf numFmtId="0" fontId="0" fillId="28" borderId="3" xfId="0" applyFill="1" applyBorder="1"/>
    <xf numFmtId="0" fontId="42" fillId="25" borderId="6" xfId="0" applyFont="1" applyFill="1" applyBorder="1" applyAlignment="1">
      <alignment horizontal="center" vertical="center"/>
    </xf>
    <xf numFmtId="0" fontId="42" fillId="25" borderId="10" xfId="0" applyFont="1" applyFill="1" applyBorder="1" applyAlignment="1">
      <alignment horizontal="center" vertical="center"/>
    </xf>
    <xf numFmtId="0" fontId="0" fillId="27" borderId="7" xfId="0" applyFont="1" applyFill="1" applyBorder="1" applyAlignment="1">
      <alignment horizontal="left" vertical="center" wrapText="1"/>
    </xf>
    <xf numFmtId="0" fontId="0" fillId="27" borderId="8" xfId="0" applyFont="1" applyFill="1" applyBorder="1" applyAlignment="1">
      <alignment horizontal="left" vertical="center" wrapText="1"/>
    </xf>
    <xf numFmtId="0" fontId="0" fillId="27" borderId="11" xfId="0" applyFont="1" applyFill="1" applyBorder="1" applyAlignment="1">
      <alignment horizontal="left" vertical="center" wrapText="1"/>
    </xf>
    <xf numFmtId="0" fontId="0" fillId="27" borderId="5" xfId="0" applyFont="1" applyFill="1" applyBorder="1" applyAlignment="1">
      <alignment horizontal="left" vertical="center" wrapText="1"/>
    </xf>
    <xf numFmtId="0" fontId="42" fillId="30" borderId="1" xfId="0" applyFont="1" applyFill="1" applyBorder="1" applyAlignment="1">
      <alignment horizontal="left" vertical="center" wrapText="1"/>
    </xf>
    <xf numFmtId="4" fontId="35" fillId="6" borderId="1" xfId="5" applyNumberFormat="1" applyFont="1" applyFill="1" applyBorder="1" applyAlignment="1">
      <alignment horizontal="right"/>
    </xf>
    <xf numFmtId="0" fontId="35" fillId="13" borderId="8" xfId="5" applyFont="1" applyFill="1" applyBorder="1" applyAlignment="1">
      <alignment horizontal="center"/>
    </xf>
    <xf numFmtId="0" fontId="42" fillId="3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2" borderId="1" xfId="0" applyFont="1" applyFill="1" applyBorder="1" applyAlignment="1">
      <alignment horizontal="center" vertical="center"/>
    </xf>
    <xf numFmtId="0" fontId="10" fillId="0" borderId="1" xfId="0" applyFont="1" applyBorder="1" applyAlignment="1">
      <alignment horizontal="center" vertic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14" fillId="2" borderId="1" xfId="5" applyFont="1" applyFill="1" applyBorder="1" applyAlignment="1">
      <alignment horizontal="center"/>
    </xf>
    <xf numFmtId="0" fontId="14" fillId="11" borderId="38" xfId="5" applyFont="1" applyFill="1" applyBorder="1" applyAlignment="1">
      <alignment horizontal="center" vertical="center" wrapText="1"/>
    </xf>
    <xf numFmtId="0" fontId="14" fillId="11" borderId="39" xfId="5" applyFont="1" applyFill="1" applyBorder="1" applyAlignment="1">
      <alignment horizontal="center" vertical="center" wrapText="1"/>
    </xf>
    <xf numFmtId="0" fontId="14" fillId="11" borderId="40" xfId="5" applyFont="1" applyFill="1" applyBorder="1" applyAlignment="1">
      <alignment horizontal="center" vertical="center" wrapText="1"/>
    </xf>
    <xf numFmtId="2" fontId="14" fillId="8" borderId="38" xfId="5" applyNumberFormat="1" applyFont="1" applyFill="1" applyBorder="1" applyAlignment="1">
      <alignment horizontal="center"/>
    </xf>
    <xf numFmtId="2" fontId="14" fillId="8" borderId="39" xfId="5" applyNumberFormat="1" applyFont="1" applyFill="1" applyBorder="1" applyAlignment="1">
      <alignment horizontal="center"/>
    </xf>
    <xf numFmtId="2" fontId="14" fillId="8" borderId="42" xfId="5" applyNumberFormat="1" applyFont="1" applyFill="1" applyBorder="1" applyAlignment="1">
      <alignment horizontal="center"/>
    </xf>
    <xf numFmtId="0" fontId="14" fillId="5" borderId="38" xfId="5" applyFont="1" applyFill="1" applyBorder="1" applyAlignment="1">
      <alignment horizontal="center" vertical="center" wrapText="1"/>
    </xf>
    <xf numFmtId="0" fontId="14" fillId="5" borderId="39" xfId="5" applyFont="1" applyFill="1" applyBorder="1" applyAlignment="1">
      <alignment horizontal="center" vertical="center" wrapText="1"/>
    </xf>
    <xf numFmtId="0" fontId="14" fillId="5" borderId="40" xfId="5" applyFont="1" applyFill="1" applyBorder="1" applyAlignment="1">
      <alignment horizontal="center" vertical="center" wrapText="1"/>
    </xf>
    <xf numFmtId="0" fontId="14" fillId="8" borderId="38" xfId="5" applyFont="1" applyFill="1" applyBorder="1" applyAlignment="1">
      <alignment horizontal="center" vertical="center" wrapText="1"/>
    </xf>
    <xf numFmtId="0" fontId="14" fillId="8" borderId="39" xfId="5" applyFont="1" applyFill="1" applyBorder="1" applyAlignment="1">
      <alignment horizontal="center" vertical="center" wrapText="1"/>
    </xf>
    <xf numFmtId="0" fontId="14" fillId="8" borderId="42" xfId="5" applyFont="1" applyFill="1" applyBorder="1" applyAlignment="1">
      <alignment horizontal="center" vertical="center" wrapText="1"/>
    </xf>
    <xf numFmtId="0" fontId="21" fillId="0" borderId="1" xfId="5" applyFont="1" applyBorder="1" applyAlignment="1">
      <alignment horizontal="center" vertical="center"/>
    </xf>
    <xf numFmtId="0" fontId="0" fillId="0" borderId="0" xfId="0" applyAlignment="1">
      <alignment horizontal="center"/>
    </xf>
    <xf numFmtId="0" fontId="0"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164" fontId="0" fillId="0" borderId="25" xfId="0" applyNumberFormat="1" applyFont="1" applyBorder="1" applyAlignment="1">
      <alignment vertical="center" wrapText="1"/>
    </xf>
    <xf numFmtId="0" fontId="0" fillId="0" borderId="29" xfId="0" applyFont="1" applyBorder="1" applyAlignment="1">
      <alignment vertical="center" wrapText="1"/>
    </xf>
    <xf numFmtId="164" fontId="0" fillId="0" borderId="27" xfId="0" applyNumberFormat="1" applyFont="1" applyBorder="1" applyAlignment="1">
      <alignment vertical="center" wrapText="1"/>
    </xf>
    <xf numFmtId="0" fontId="0" fillId="0" borderId="31" xfId="0" applyFont="1" applyBorder="1" applyAlignment="1">
      <alignment vertical="center" wrapText="1"/>
    </xf>
    <xf numFmtId="0" fontId="2" fillId="2" borderId="1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9" xfId="0" applyFont="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164" fontId="0" fillId="0" borderId="34" xfId="4" applyFont="1" applyBorder="1" applyAlignment="1">
      <alignment vertical="center" wrapText="1"/>
    </xf>
    <xf numFmtId="164" fontId="0" fillId="0" borderId="35" xfId="4" applyFont="1" applyBorder="1" applyAlignment="1">
      <alignment vertical="center" wrapText="1"/>
    </xf>
    <xf numFmtId="169" fontId="0" fillId="0" borderId="25" xfId="0" applyNumberFormat="1" applyFont="1" applyBorder="1" applyAlignment="1">
      <alignment horizontal="center" vertical="center" wrapText="1"/>
    </xf>
    <xf numFmtId="169" fontId="0" fillId="0" borderId="29" xfId="0" applyNumberFormat="1" applyFont="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0" borderId="24" xfId="0" applyFont="1" applyBorder="1" applyAlignment="1">
      <alignment vertical="center" wrapText="1"/>
    </xf>
    <xf numFmtId="0" fontId="0" fillId="0" borderId="28" xfId="0" applyFont="1" applyBorder="1" applyAlignment="1">
      <alignment vertical="center" wrapText="1"/>
    </xf>
    <xf numFmtId="164" fontId="0" fillId="0" borderId="26" xfId="0" applyNumberFormat="1" applyFont="1" applyBorder="1" applyAlignment="1">
      <alignment vertical="center" wrapText="1"/>
    </xf>
    <xf numFmtId="0" fontId="0" fillId="0" borderId="30"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164" fontId="0" fillId="0" borderId="18" xfId="0" applyNumberFormat="1" applyFont="1" applyBorder="1" applyAlignment="1">
      <alignment vertical="center" wrapText="1"/>
    </xf>
    <xf numFmtId="0" fontId="2" fillId="2" borderId="2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164" fontId="2" fillId="2" borderId="16" xfId="0" applyNumberFormat="1" applyFont="1" applyFill="1" applyBorder="1" applyAlignment="1">
      <alignment vertical="center" wrapText="1"/>
    </xf>
    <xf numFmtId="0" fontId="2" fillId="2" borderId="17" xfId="0" applyFont="1" applyFill="1" applyBorder="1" applyAlignment="1">
      <alignment vertical="center" wrapText="1"/>
    </xf>
    <xf numFmtId="0" fontId="18" fillId="10" borderId="2"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4" xfId="0" applyFont="1" applyFill="1" applyBorder="1" applyAlignment="1">
      <alignment horizontal="center" vertical="center"/>
    </xf>
    <xf numFmtId="0" fontId="5" fillId="2" borderId="1" xfId="0" applyFont="1" applyFill="1" applyBorder="1" applyAlignment="1">
      <alignment horizontal="center"/>
    </xf>
    <xf numFmtId="0" fontId="3" fillId="2" borderId="1" xfId="0" applyFont="1" applyFill="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0" fillId="0" borderId="1" xfId="0" applyBorder="1" applyAlignment="1">
      <alignment horizontal="center" vertical="center"/>
    </xf>
    <xf numFmtId="0" fontId="19" fillId="0" borderId="0" xfId="0" applyFont="1" applyAlignment="1">
      <alignment horizontal="left" vertical="center" wrapText="1"/>
    </xf>
    <xf numFmtId="0" fontId="22" fillId="0" borderId="0" xfId="0" applyFont="1" applyAlignment="1">
      <alignment horizontal="center"/>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61" fillId="36" borderId="48" xfId="9" applyAlignment="1">
      <alignment horizontal="center" vertical="center" wrapText="1"/>
    </xf>
    <xf numFmtId="0" fontId="2" fillId="0" borderId="1" xfId="0" applyFont="1" applyFill="1" applyBorder="1" applyAlignment="1">
      <alignment horizontal="center" vertical="center" textRotation="90"/>
    </xf>
    <xf numFmtId="0" fontId="2" fillId="0" borderId="1" xfId="0" applyFont="1" applyBorder="1" applyAlignment="1">
      <alignment horizontal="center" vertical="center" textRotation="90"/>
    </xf>
    <xf numFmtId="166" fontId="0" fillId="0" borderId="1" xfId="1" applyNumberFormat="1" applyFont="1" applyBorder="1"/>
    <xf numFmtId="10" fontId="0" fillId="0" borderId="1" xfId="1" applyNumberFormat="1" applyFont="1" applyBorder="1" applyAlignment="1">
      <alignment horizontal="center"/>
    </xf>
    <xf numFmtId="10" fontId="1" fillId="37" borderId="0" xfId="10" applyNumberFormat="1" applyAlignment="1">
      <alignment horizontal="center"/>
    </xf>
    <xf numFmtId="0" fontId="0" fillId="0" borderId="1" xfId="0" applyFill="1" applyBorder="1"/>
    <xf numFmtId="0" fontId="0" fillId="38" borderId="1" xfId="0" applyFill="1" applyBorder="1"/>
    <xf numFmtId="0" fontId="0" fillId="6" borderId="1" xfId="0" applyFill="1" applyBorder="1"/>
    <xf numFmtId="0" fontId="0" fillId="20" borderId="1" xfId="0" applyFill="1" applyBorder="1"/>
    <xf numFmtId="0" fontId="0" fillId="5" borderId="1" xfId="0" applyFill="1" applyBorder="1" applyAlignment="1">
      <alignment horizontal="center"/>
    </xf>
    <xf numFmtId="0" fontId="2" fillId="6" borderId="13" xfId="0" applyFont="1" applyFill="1" applyBorder="1" applyAlignment="1">
      <alignment horizontal="left"/>
    </xf>
    <xf numFmtId="0" fontId="2" fillId="6" borderId="14" xfId="0" applyFont="1" applyFill="1" applyBorder="1" applyAlignment="1">
      <alignment horizontal="left"/>
    </xf>
    <xf numFmtId="0" fontId="61" fillId="36" borderId="1" xfId="9" applyBorder="1" applyAlignment="1">
      <alignment horizontal="center"/>
    </xf>
    <xf numFmtId="0" fontId="63" fillId="0" borderId="49" xfId="0" applyFont="1" applyFill="1" applyBorder="1" applyAlignment="1">
      <alignment horizontal="center" vertical="center" wrapText="1"/>
    </xf>
    <xf numFmtId="0" fontId="63" fillId="0" borderId="49" xfId="0" applyFont="1" applyFill="1" applyBorder="1" applyAlignment="1">
      <alignment horizontal="left" vertical="center" wrapText="1"/>
    </xf>
    <xf numFmtId="0" fontId="63" fillId="0" borderId="50"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0" fillId="39" borderId="0" xfId="0" applyFill="1" applyBorder="1" applyAlignment="1">
      <alignment horizontal="left" vertical="center"/>
    </xf>
    <xf numFmtId="0" fontId="0" fillId="0" borderId="0" xfId="0" applyFill="1" applyBorder="1" applyAlignment="1">
      <alignment horizontal="left" vertical="top"/>
    </xf>
    <xf numFmtId="0" fontId="61" fillId="36" borderId="1" xfId="9" applyBorder="1" applyAlignment="1">
      <alignment horizontal="center" vertical="center" wrapText="1"/>
    </xf>
    <xf numFmtId="1" fontId="65" fillId="0" borderId="52" xfId="0" applyNumberFormat="1" applyFont="1" applyFill="1" applyBorder="1" applyAlignment="1">
      <alignment horizontal="center" vertical="center" shrinkToFit="1"/>
    </xf>
    <xf numFmtId="0" fontId="13" fillId="0" borderId="52" xfId="0" applyFont="1" applyFill="1" applyBorder="1" applyAlignment="1">
      <alignment horizontal="left"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67" fillId="0" borderId="52" xfId="0" applyFont="1" applyFill="1" applyBorder="1" applyAlignment="1">
      <alignment horizontal="left" vertical="center" wrapText="1"/>
    </xf>
    <xf numFmtId="2" fontId="68" fillId="6" borderId="1" xfId="8" applyNumberFormat="1" applyFont="1" applyFill="1" applyBorder="1" applyAlignment="1">
      <alignment horizontal="center" vertical="center"/>
    </xf>
    <xf numFmtId="0" fontId="0" fillId="0" borderId="52" xfId="0" applyFill="1" applyBorder="1" applyAlignment="1">
      <alignment horizontal="left" vertical="center" wrapText="1"/>
    </xf>
    <xf numFmtId="0" fontId="69" fillId="0" borderId="52" xfId="0" applyFont="1" applyFill="1" applyBorder="1" applyAlignment="1">
      <alignment horizontal="left" vertical="center" wrapText="1"/>
    </xf>
    <xf numFmtId="0" fontId="0" fillId="0" borderId="52" xfId="0" applyFill="1" applyBorder="1" applyAlignment="1">
      <alignment horizontal="center"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62" fillId="0" borderId="52" xfId="0" applyFont="1" applyFill="1" applyBorder="1" applyAlignment="1">
      <alignment horizontal="left" vertical="center" wrapText="1"/>
    </xf>
    <xf numFmtId="0" fontId="70" fillId="0" borderId="52" xfId="0" applyFont="1" applyFill="1" applyBorder="1" applyAlignment="1">
      <alignment horizontal="left" vertical="center" wrapText="1"/>
    </xf>
    <xf numFmtId="1" fontId="66" fillId="0" borderId="52" xfId="0" applyNumberFormat="1" applyFont="1" applyFill="1" applyBorder="1" applyAlignment="1">
      <alignment horizontal="center" vertical="center" shrinkToFit="1"/>
    </xf>
    <xf numFmtId="166" fontId="22" fillId="0" borderId="0" xfId="1" applyNumberFormat="1" applyFont="1" applyFill="1" applyAlignment="1">
      <alignment horizontal="center"/>
    </xf>
    <xf numFmtId="166" fontId="23" fillId="0" borderId="0" xfId="1" applyNumberFormat="1" applyFont="1" applyFill="1"/>
    <xf numFmtId="166" fontId="71" fillId="6" borderId="0" xfId="1" applyNumberFormat="1" applyFont="1" applyFill="1" applyBorder="1" applyAlignment="1">
      <alignment horizontal="center" vertical="center" wrapText="1"/>
    </xf>
    <xf numFmtId="166" fontId="72" fillId="6"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left" vertical="center" wrapText="1"/>
    </xf>
    <xf numFmtId="166" fontId="23" fillId="0" borderId="0" xfId="1" applyNumberFormat="1" applyFont="1"/>
    <xf numFmtId="1" fontId="68" fillId="40" borderId="1" xfId="8" applyNumberFormat="1" applyFont="1" applyFill="1" applyBorder="1" applyAlignment="1">
      <alignment horizontal="center" vertical="center"/>
    </xf>
    <xf numFmtId="1" fontId="68" fillId="6" borderId="1" xfId="8" applyNumberFormat="1" applyFont="1" applyFill="1" applyBorder="1" applyAlignment="1">
      <alignment horizontal="center" vertical="center"/>
    </xf>
    <xf numFmtId="1" fontId="68" fillId="41" borderId="1" xfId="8" applyNumberFormat="1" applyFont="1" applyFill="1" applyBorder="1" applyAlignment="1">
      <alignment horizontal="center" vertical="center"/>
    </xf>
    <xf numFmtId="1" fontId="68" fillId="40" borderId="1" xfId="7" applyNumberFormat="1" applyFont="1" applyFill="1" applyBorder="1" applyAlignment="1">
      <alignment horizontal="center" vertical="center"/>
    </xf>
    <xf numFmtId="1" fontId="68" fillId="40" borderId="1" xfId="0" applyNumberFormat="1" applyFont="1" applyFill="1" applyBorder="1" applyAlignment="1">
      <alignment horizontal="center" vertical="center"/>
    </xf>
    <xf numFmtId="1" fontId="68" fillId="20" borderId="1" xfId="8" applyNumberFormat="1" applyFont="1" applyFill="1" applyBorder="1" applyAlignment="1">
      <alignment horizontal="center" vertical="center"/>
    </xf>
    <xf numFmtId="166" fontId="68" fillId="40" borderId="1" xfId="8" applyNumberFormat="1" applyFont="1" applyFill="1" applyBorder="1" applyAlignment="1">
      <alignment horizontal="center" vertical="center"/>
    </xf>
    <xf numFmtId="166" fontId="68" fillId="40" borderId="6" xfId="8" applyNumberFormat="1" applyFont="1" applyFill="1" applyBorder="1" applyAlignment="1">
      <alignment horizontal="center" vertical="center"/>
    </xf>
    <xf numFmtId="0" fontId="22" fillId="0" borderId="1" xfId="0" applyFont="1" applyBorder="1"/>
    <xf numFmtId="166" fontId="22" fillId="0" borderId="1" xfId="0" applyNumberFormat="1" applyFont="1" applyBorder="1"/>
  </cellXfs>
  <cellStyles count="11">
    <cellStyle name="20% - Ênfase1" xfId="10" builtinId="30"/>
    <cellStyle name="Cálculo" xfId="9" builtinId="22"/>
    <cellStyle name="Incorreto" xfId="7" builtinId="27"/>
    <cellStyle name="Moeda" xfId="2" builtinId="4"/>
    <cellStyle name="Moeda 2" xfId="4"/>
    <cellStyle name="Neutra" xfId="8" builtinId="28"/>
    <cellStyle name="Normal" xfId="0" builtinId="0"/>
    <cellStyle name="Normal 2" xfId="5"/>
    <cellStyle name="Porcentagem" xfId="3" builtinId="5"/>
    <cellStyle name="Texto Explicativo" xfId="6" builtinId="53"/>
    <cellStyle name="Vírgula" xfId="1" builtinId="3"/>
  </cellStyles>
  <dxfs count="18">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Radio" firstButton="1" fmlaLink="$J$18"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J$1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J$18"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fmlaLink="$J$18"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firstButton="1" fmlaLink="$J$18" lockText="1" noThreeD="1"/>
</file>

<file path=xl/ctrlProps/ctrlProp2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J$18"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J$1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J$18"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J$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64513" name="Option Button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64514" name="Option Button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80897" name="Option Button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80898" name="Option Button 2"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81921" name="Option Button 1" hidden="1">
              <a:extLst>
                <a:ext uri="{63B3BB69-23CF-44E3-9099-C40C66FF867C}">
                  <a14:compatExt spid="_x0000_s8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81922" name="Option Button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82945" name="Option Button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82946" name="Option Button 2" hidden="1">
              <a:extLst>
                <a:ext uri="{63B3BB69-23CF-44E3-9099-C40C66FF867C}">
                  <a14:compatExt spid="_x0000_s8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65537" name="Option Button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65538" name="Option Button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65545" name="Option Button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65546" name="Option Button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83969"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83970"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57150</xdr:rowOff>
        </xdr:to>
        <xdr:sp macro="" textlink="">
          <xdr:nvSpPr>
            <xdr:cNvPr id="83971"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57150</xdr:rowOff>
        </xdr:to>
        <xdr:sp macro="" textlink="">
          <xdr:nvSpPr>
            <xdr:cNvPr id="83972"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0</xdr:rowOff>
        </xdr:to>
        <xdr:sp macro="" textlink="">
          <xdr:nvSpPr>
            <xdr:cNvPr id="52225" name="Option Button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0</xdr:rowOff>
        </xdr:to>
        <xdr:sp macro="" textlink="">
          <xdr:nvSpPr>
            <xdr:cNvPr id="52226" name="Option Button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0</xdr:rowOff>
        </xdr:to>
        <xdr:sp macro="" textlink="">
          <xdr:nvSpPr>
            <xdr:cNvPr id="84993"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0</xdr:rowOff>
        </xdr:to>
        <xdr:sp macro="" textlink="">
          <xdr:nvSpPr>
            <xdr:cNvPr id="84994"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466725</xdr:colOff>
          <xdr:row>18</xdr:row>
          <xdr:rowOff>0</xdr:rowOff>
        </xdr:to>
        <xdr:sp macro="" textlink="">
          <xdr:nvSpPr>
            <xdr:cNvPr id="86017"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17</xdr:row>
          <xdr:rowOff>0</xdr:rowOff>
        </xdr:from>
        <xdr:to>
          <xdr:col>10</xdr:col>
          <xdr:colOff>438150</xdr:colOff>
          <xdr:row>18</xdr:row>
          <xdr:rowOff>0</xdr:rowOff>
        </xdr:to>
        <xdr:sp macro="" textlink="">
          <xdr:nvSpPr>
            <xdr:cNvPr id="86018"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xtenso\VExtensoFree.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nair\AppData\Local\Temp\Rar$DIa17504.21965\03%20-%20ANEXO%20III%20-%20Planilha%20Limpeza%20PSF%20BAURU%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VExtensoFree"/>
    </sheetNames>
    <definedNames>
      <definedName name="VExtensoFree"/>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ração"/>
      <sheetName val="dados"/>
      <sheetName val="Áreas, Produtiv. e Funcionários"/>
      <sheetName val="Dados do Licitante"/>
      <sheetName val="Uniforme"/>
      <sheetName val="Equip + Mat. limpeza + Higiene"/>
      <sheetName val="Servente Líder"/>
      <sheetName val="Adequação aos Limites do MPDG"/>
      <sheetName val="Retenção Mensal Conta Vinculada"/>
      <sheetName val="Comparação - m² vs Postos"/>
      <sheetName val="Preço por localidade - m²"/>
      <sheetName val="Preço por localidade - Postos"/>
      <sheetName val="Valor Total do Contrato"/>
      <sheetName val="Limites Mín Máx - Minist Planej"/>
      <sheetName val="Servente sem Insalubridade"/>
      <sheetName val="Servente Banheiro 20%"/>
      <sheetName val="Servente Banheiro 40%"/>
      <sheetName val="Limpador Vidros"/>
      <sheetName val="Limpador Vidros COM RISCO"/>
      <sheetName val="Encarregado Residente"/>
      <sheetName val="Simples Nac. - Anexo IV, LC 123"/>
    </sheetNames>
    <sheetDataSet>
      <sheetData sheetId="0" refreshError="1">
        <row r="34">
          <cell r="B34">
            <v>2</v>
          </cell>
        </row>
      </sheetData>
      <sheetData sheetId="1" refreshError="1"/>
      <sheetData sheetId="2" refreshError="1">
        <row r="22">
          <cell r="E22" t="str">
            <v>PSF BAURU</v>
          </cell>
          <cell r="I22">
            <v>0</v>
          </cell>
          <cell r="M22">
            <v>0</v>
          </cell>
          <cell r="Q22">
            <v>0</v>
          </cell>
          <cell r="U22">
            <v>0</v>
          </cell>
          <cell r="Y22">
            <v>0</v>
          </cell>
          <cell r="AC22">
            <v>0</v>
          </cell>
          <cell r="AG22">
            <v>0</v>
          </cell>
          <cell r="AK22">
            <v>0</v>
          </cell>
          <cell r="AO22">
            <v>0</v>
          </cell>
        </row>
      </sheetData>
      <sheetData sheetId="3" refreshError="1">
        <row r="1">
          <cell r="D1" t="str">
            <v>Prestação de serviços de limpeza e conservação</v>
          </cell>
        </row>
        <row r="4">
          <cell r="H4" t="str">
            <v>09h00</v>
          </cell>
        </row>
        <row r="17">
          <cell r="E17">
            <v>12</v>
          </cell>
        </row>
        <row r="18">
          <cell r="E18" t="str">
            <v>metro quadrado (m²)</v>
          </cell>
        </row>
        <row r="25">
          <cell r="F25">
            <v>43101</v>
          </cell>
        </row>
        <row r="27">
          <cell r="F27" t="str">
            <v>5143-20</v>
          </cell>
        </row>
        <row r="34">
          <cell r="A34" t="str">
            <v>Simples Nacional</v>
          </cell>
        </row>
        <row r="40">
          <cell r="H40" t="str">
            <v/>
          </cell>
        </row>
        <row r="41">
          <cell r="H41" t="str">
            <v/>
          </cell>
        </row>
        <row r="42">
          <cell r="H42" t="str">
            <v/>
          </cell>
        </row>
        <row r="43">
          <cell r="H43" t="str">
            <v/>
          </cell>
        </row>
        <row r="44">
          <cell r="H44" t="str">
            <v/>
          </cell>
        </row>
        <row r="45">
          <cell r="H45" t="str">
            <v/>
          </cell>
        </row>
        <row r="46">
          <cell r="H46" t="str">
            <v/>
          </cell>
        </row>
        <row r="47">
          <cell r="H47" t="str">
            <v/>
          </cell>
        </row>
        <row r="48">
          <cell r="H48" t="str">
            <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79">
          <cell r="G79">
            <v>0.05</v>
          </cell>
        </row>
        <row r="83">
          <cell r="H83">
            <v>1.3698630136986301E-2</v>
          </cell>
        </row>
        <row r="84">
          <cell r="H84">
            <v>1.3698630136986301E-2</v>
          </cell>
        </row>
        <row r="85">
          <cell r="H85">
            <v>1.1986301369863014E-4</v>
          </cell>
        </row>
        <row r="86">
          <cell r="H86">
            <v>3.2054794520547944E-4</v>
          </cell>
        </row>
        <row r="87">
          <cell r="H87">
            <v>6.5753424657534242E-3</v>
          </cell>
        </row>
        <row r="88">
          <cell r="H88">
            <v>0</v>
          </cell>
        </row>
      </sheetData>
      <sheetData sheetId="4" refreshError="1"/>
      <sheetData sheetId="5" refreshError="1">
        <row r="202">
          <cell r="E202" t="str">
            <v>% do Mód. 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omments" Target="../comments10.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omments" Target="../comments1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omments" Target="../comments12.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7"/>
  <sheetViews>
    <sheetView topLeftCell="A9" zoomScale="120" zoomScaleNormal="120" workbookViewId="0">
      <selection activeCell="K17" sqref="K17"/>
    </sheetView>
  </sheetViews>
  <sheetFormatPr defaultRowHeight="15" x14ac:dyDescent="0.25"/>
  <cols>
    <col min="1" max="1" width="4.85546875" style="27" customWidth="1"/>
    <col min="2" max="2" width="45.7109375" customWidth="1"/>
    <col min="3" max="3" width="10" hidden="1" customWidth="1"/>
    <col min="4" max="4" width="3.28515625" hidden="1" customWidth="1"/>
    <col min="5" max="5" width="17.140625" customWidth="1"/>
    <col min="6" max="6" width="17.42578125" customWidth="1"/>
  </cols>
  <sheetData>
    <row r="1" spans="1:6" ht="18" customHeight="1" x14ac:dyDescent="0.25">
      <c r="A1" s="358" t="s">
        <v>342</v>
      </c>
      <c r="B1" s="358"/>
      <c r="C1" s="358"/>
      <c r="D1" s="358"/>
      <c r="E1" s="358"/>
      <c r="F1" s="358"/>
    </row>
    <row r="2" spans="1:6" ht="15.75" x14ac:dyDescent="0.25">
      <c r="A2" s="356" t="s">
        <v>368</v>
      </c>
      <c r="B2" s="356"/>
      <c r="C2" s="356"/>
      <c r="D2" s="356"/>
      <c r="E2" s="356"/>
      <c r="F2" s="356"/>
    </row>
    <row r="3" spans="1:6" ht="15.75" x14ac:dyDescent="0.25">
      <c r="A3" s="356" t="s">
        <v>360</v>
      </c>
      <c r="B3" s="356"/>
      <c r="C3" s="356"/>
      <c r="D3" s="356"/>
      <c r="E3" s="356"/>
      <c r="F3" s="356"/>
    </row>
    <row r="4" spans="1:6" ht="15.75" customHeight="1" x14ac:dyDescent="0.25">
      <c r="A4" s="356" t="s">
        <v>361</v>
      </c>
      <c r="B4" s="356"/>
      <c r="C4" s="356"/>
      <c r="D4" s="356"/>
      <c r="E4" s="356"/>
      <c r="F4" s="356"/>
    </row>
    <row r="5" spans="1:6" ht="16.5" customHeight="1" x14ac:dyDescent="0.25">
      <c r="A5" s="356" t="s">
        <v>362</v>
      </c>
      <c r="B5" s="356"/>
      <c r="C5" s="356"/>
      <c r="D5" s="356"/>
      <c r="E5" s="356"/>
      <c r="F5" s="356"/>
    </row>
    <row r="6" spans="1:6" ht="42" customHeight="1" x14ac:dyDescent="0.25">
      <c r="A6" s="357" t="s">
        <v>511</v>
      </c>
      <c r="B6" s="357"/>
      <c r="C6" s="357"/>
      <c r="D6" s="357"/>
      <c r="E6" s="357"/>
      <c r="F6" s="357"/>
    </row>
    <row r="7" spans="1:6" ht="15.75" x14ac:dyDescent="0.25">
      <c r="A7" s="353" t="s">
        <v>343</v>
      </c>
      <c r="B7" s="353"/>
      <c r="C7" s="353"/>
      <c r="D7" s="353"/>
      <c r="E7" s="353"/>
      <c r="F7" s="353"/>
    </row>
    <row r="8" spans="1:6" ht="65.25" customHeight="1" x14ac:dyDescent="0.25">
      <c r="A8" s="352" t="s">
        <v>512</v>
      </c>
      <c r="B8" s="352"/>
      <c r="C8" s="352"/>
      <c r="D8" s="352"/>
      <c r="E8" s="352"/>
      <c r="F8" s="352"/>
    </row>
    <row r="9" spans="1:6" ht="15.75" x14ac:dyDescent="0.25">
      <c r="A9" s="353" t="s">
        <v>344</v>
      </c>
      <c r="B9" s="353"/>
      <c r="C9" s="353"/>
      <c r="D9" s="353"/>
      <c r="E9" s="353"/>
      <c r="F9" s="353"/>
    </row>
    <row r="10" spans="1:6" ht="78" customHeight="1" x14ac:dyDescent="0.25">
      <c r="A10" s="178" t="s">
        <v>367</v>
      </c>
      <c r="B10" s="179" t="s">
        <v>345</v>
      </c>
      <c r="C10" s="179" t="s">
        <v>346</v>
      </c>
      <c r="D10" s="179" t="s">
        <v>351</v>
      </c>
      <c r="E10" s="179" t="s">
        <v>347</v>
      </c>
      <c r="F10" s="179" t="s">
        <v>348</v>
      </c>
    </row>
    <row r="11" spans="1:6" ht="40.5" customHeight="1" x14ac:dyDescent="0.25">
      <c r="A11" s="327">
        <v>1</v>
      </c>
      <c r="B11" s="258" t="s">
        <v>507</v>
      </c>
      <c r="C11" s="176">
        <v>0</v>
      </c>
      <c r="D11" s="177">
        <v>0</v>
      </c>
      <c r="E11" s="180">
        <v>14923.39</v>
      </c>
      <c r="F11" s="182">
        <f t="shared" ref="F11:F13" si="0">E11*12</f>
        <v>179080.68</v>
      </c>
    </row>
    <row r="12" spans="1:6" ht="39.75" customHeight="1" x14ac:dyDescent="0.25">
      <c r="A12" s="327">
        <v>2</v>
      </c>
      <c r="B12" s="259" t="s">
        <v>506</v>
      </c>
      <c r="C12" s="169">
        <v>0</v>
      </c>
      <c r="D12" s="170">
        <v>0</v>
      </c>
      <c r="E12" s="181">
        <v>4677.6000000000004</v>
      </c>
      <c r="F12" s="182">
        <f t="shared" si="0"/>
        <v>56131.199999999997</v>
      </c>
    </row>
    <row r="13" spans="1:6" ht="42" customHeight="1" x14ac:dyDescent="0.25">
      <c r="A13" s="327">
        <v>3</v>
      </c>
      <c r="B13" s="260" t="s">
        <v>495</v>
      </c>
      <c r="C13" s="169">
        <v>0</v>
      </c>
      <c r="D13" s="170">
        <v>0</v>
      </c>
      <c r="E13" s="181">
        <v>54312.6</v>
      </c>
      <c r="F13" s="182">
        <f t="shared" si="0"/>
        <v>651751.19999999995</v>
      </c>
    </row>
    <row r="14" spans="1:6" ht="15.75" hidden="1" x14ac:dyDescent="0.25">
      <c r="A14" s="327"/>
      <c r="B14" s="345" t="s">
        <v>352</v>
      </c>
      <c r="C14" s="346"/>
      <c r="D14" s="171">
        <f>SUM(D11:D13)</f>
        <v>0</v>
      </c>
      <c r="E14" s="354"/>
      <c r="F14" s="355"/>
    </row>
    <row r="15" spans="1:6" ht="15.75" x14ac:dyDescent="0.25">
      <c r="A15" s="327"/>
      <c r="B15" s="348" t="s">
        <v>349</v>
      </c>
      <c r="C15" s="348"/>
      <c r="D15" s="348"/>
      <c r="E15" s="174">
        <f>SUM(E11:E13)</f>
        <v>73913.59</v>
      </c>
      <c r="F15" s="172"/>
    </row>
    <row r="16" spans="1:6" ht="16.5" customHeight="1" x14ac:dyDescent="0.25">
      <c r="A16" s="327"/>
      <c r="B16" s="349" t="s">
        <v>350</v>
      </c>
      <c r="C16" s="349"/>
      <c r="D16" s="349"/>
      <c r="E16" s="349"/>
      <c r="F16" s="173">
        <f>E15*12</f>
        <v>886963.08</v>
      </c>
    </row>
    <row r="17" spans="1:6" ht="336.75" customHeight="1" x14ac:dyDescent="0.25">
      <c r="A17" s="341" t="s">
        <v>613</v>
      </c>
      <c r="B17" s="341"/>
      <c r="C17" s="341"/>
      <c r="D17" s="341"/>
      <c r="E17" s="341"/>
      <c r="F17" s="342"/>
    </row>
    <row r="18" spans="1:6" ht="36" customHeight="1" x14ac:dyDescent="0.25">
      <c r="A18" s="329"/>
      <c r="B18" s="350" t="s">
        <v>510</v>
      </c>
      <c r="C18" s="350"/>
      <c r="D18" s="350"/>
      <c r="E18" s="350"/>
      <c r="F18" s="350"/>
    </row>
    <row r="19" spans="1:6" ht="28.5" customHeight="1" x14ac:dyDescent="0.25">
      <c r="A19" s="328"/>
      <c r="B19" s="351" t="s">
        <v>353</v>
      </c>
      <c r="C19" s="351"/>
      <c r="D19" s="351"/>
      <c r="E19" s="351"/>
      <c r="F19" s="351"/>
    </row>
    <row r="20" spans="1:6" ht="15.75" customHeight="1" x14ac:dyDescent="0.25">
      <c r="A20" s="328"/>
      <c r="B20" s="351" t="s">
        <v>509</v>
      </c>
      <c r="C20" s="351"/>
      <c r="D20" s="351"/>
      <c r="E20" s="351"/>
      <c r="F20" s="351"/>
    </row>
    <row r="21" spans="1:6" ht="15.75" customHeight="1" x14ac:dyDescent="0.25">
      <c r="A21" s="328"/>
      <c r="B21" s="347"/>
      <c r="C21" s="347"/>
      <c r="D21" s="347"/>
      <c r="E21" s="347"/>
      <c r="F21" s="347"/>
    </row>
    <row r="22" spans="1:6" ht="15.75" customHeight="1" x14ac:dyDescent="0.25">
      <c r="A22" s="328"/>
      <c r="B22" s="347" t="s">
        <v>496</v>
      </c>
      <c r="C22" s="347"/>
      <c r="D22" s="347"/>
      <c r="E22" s="347"/>
      <c r="F22" s="347"/>
    </row>
    <row r="23" spans="1:6" ht="15.75" customHeight="1" x14ac:dyDescent="0.25">
      <c r="A23" s="328"/>
      <c r="B23" s="347"/>
      <c r="C23" s="347"/>
      <c r="D23" s="347"/>
      <c r="E23" s="347"/>
      <c r="F23" s="347"/>
    </row>
    <row r="24" spans="1:6" ht="15.75" customHeight="1" x14ac:dyDescent="0.25">
      <c r="A24" s="328"/>
      <c r="B24" s="344"/>
      <c r="C24" s="344"/>
      <c r="D24" s="344"/>
      <c r="E24" s="344"/>
      <c r="F24" s="344"/>
    </row>
    <row r="25" spans="1:6" ht="15.75" customHeight="1" x14ac:dyDescent="0.25">
      <c r="A25" s="328"/>
      <c r="B25" s="343" t="s">
        <v>364</v>
      </c>
      <c r="C25" s="343"/>
      <c r="D25" s="343"/>
      <c r="E25" s="343"/>
      <c r="F25" s="343"/>
    </row>
    <row r="26" spans="1:6" ht="15.75" customHeight="1" x14ac:dyDescent="0.25">
      <c r="A26" s="328"/>
      <c r="B26" s="344" t="s">
        <v>365</v>
      </c>
      <c r="C26" s="344"/>
      <c r="D26" s="344"/>
      <c r="E26" s="344"/>
      <c r="F26" s="344"/>
    </row>
    <row r="27" spans="1:6" ht="15.75" customHeight="1" x14ac:dyDescent="0.25">
      <c r="A27" s="328"/>
      <c r="B27" s="344" t="s">
        <v>366</v>
      </c>
      <c r="C27" s="344"/>
      <c r="D27" s="344"/>
      <c r="E27" s="344"/>
      <c r="F27" s="344"/>
    </row>
  </sheetData>
  <mergeCells count="24">
    <mergeCell ref="A1:F1"/>
    <mergeCell ref="A2:F2"/>
    <mergeCell ref="A3:F3"/>
    <mergeCell ref="A4:F4"/>
    <mergeCell ref="A7:F7"/>
    <mergeCell ref="A8:F8"/>
    <mergeCell ref="A9:F9"/>
    <mergeCell ref="E14:F14"/>
    <mergeCell ref="A5:F5"/>
    <mergeCell ref="A6:F6"/>
    <mergeCell ref="A17:F17"/>
    <mergeCell ref="B25:F25"/>
    <mergeCell ref="B26:F26"/>
    <mergeCell ref="B27:F27"/>
    <mergeCell ref="B14:C14"/>
    <mergeCell ref="B21:F21"/>
    <mergeCell ref="B22:F22"/>
    <mergeCell ref="B23:F23"/>
    <mergeCell ref="B15:D15"/>
    <mergeCell ref="B16:E16"/>
    <mergeCell ref="B18:F18"/>
    <mergeCell ref="B19:F19"/>
    <mergeCell ref="B20:F20"/>
    <mergeCell ref="B24:F24"/>
  </mergeCells>
  <pageMargins left="0.511811024" right="0.511811024" top="0.78740157499999996" bottom="0.78740157499999996" header="0.31496062000000002" footer="0.31496062000000002"/>
  <pageSetup paperSize="9" scale="7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R152"/>
  <sheetViews>
    <sheetView topLeftCell="A109" zoomScale="90" zoomScaleNormal="90" zoomScalePageLayoutView="80" workbookViewId="0">
      <selection activeCell="B49" sqref="B49:J49"/>
    </sheetView>
  </sheetViews>
  <sheetFormatPr defaultColWidth="9.140625" defaultRowHeight="18.75" x14ac:dyDescent="0.25"/>
  <cols>
    <col min="1" max="1" width="1.7109375" style="1" customWidth="1"/>
    <col min="2" max="2" width="21.140625" style="166" customWidth="1"/>
    <col min="3" max="5" width="21.140625" style="167" customWidth="1"/>
    <col min="6" max="9" width="21.140625" style="166" customWidth="1"/>
    <col min="10" max="10" width="21.140625" style="168" customWidth="1"/>
    <col min="11" max="11" width="24.140625" style="217" customWidth="1"/>
    <col min="12" max="12" width="9.140625" style="226"/>
    <col min="13" max="13" width="11.7109375" style="226" bestFit="1" customWidth="1"/>
    <col min="14" max="14" width="11.42578125" style="226" bestFit="1" customWidth="1"/>
    <col min="15" max="18" width="9.140625" style="226"/>
    <col min="19" max="16384" width="9.140625" style="1"/>
  </cols>
  <sheetData>
    <row r="1" spans="2:18" x14ac:dyDescent="0.25">
      <c r="B1" s="405" t="s">
        <v>336</v>
      </c>
      <c r="C1" s="405"/>
      <c r="D1" s="405"/>
      <c r="E1" s="405"/>
      <c r="F1" s="405"/>
      <c r="G1" s="405"/>
      <c r="H1" s="405"/>
      <c r="I1" s="405"/>
      <c r="J1" s="405"/>
    </row>
    <row r="2" spans="2:18" x14ac:dyDescent="0.25">
      <c r="B2" s="496" t="s">
        <v>324</v>
      </c>
      <c r="C2" s="496"/>
      <c r="D2" s="496"/>
      <c r="E2" s="496"/>
      <c r="F2" s="496"/>
      <c r="G2" s="496"/>
      <c r="H2" s="496"/>
      <c r="I2" s="496"/>
      <c r="J2" s="496"/>
    </row>
    <row r="3" spans="2:18" x14ac:dyDescent="0.25">
      <c r="B3" s="397" t="s">
        <v>0</v>
      </c>
      <c r="C3" s="397"/>
      <c r="D3" s="452"/>
      <c r="E3" s="453"/>
      <c r="F3" s="453"/>
      <c r="G3" s="453"/>
      <c r="H3" s="453"/>
      <c r="I3" s="453"/>
      <c r="J3" s="455"/>
    </row>
    <row r="4" spans="2:18" x14ac:dyDescent="0.25">
      <c r="B4" s="397" t="s">
        <v>1</v>
      </c>
      <c r="C4" s="397"/>
      <c r="D4" s="497">
        <v>43525</v>
      </c>
      <c r="E4" s="453"/>
      <c r="F4" s="453"/>
      <c r="G4" s="453"/>
      <c r="H4" s="453"/>
      <c r="I4" s="453"/>
      <c r="J4" s="455"/>
    </row>
    <row r="5" spans="2:18" x14ac:dyDescent="0.25">
      <c r="B5" s="491" t="s">
        <v>2</v>
      </c>
      <c r="C5" s="491"/>
      <c r="D5" s="491"/>
      <c r="E5" s="491"/>
      <c r="F5" s="491"/>
      <c r="G5" s="491"/>
      <c r="H5" s="491"/>
      <c r="I5" s="491"/>
      <c r="J5" s="492"/>
    </row>
    <row r="6" spans="2:18" ht="21" customHeight="1" x14ac:dyDescent="0.25">
      <c r="B6" s="232" t="s">
        <v>3</v>
      </c>
      <c r="C6" s="403" t="s">
        <v>4</v>
      </c>
      <c r="D6" s="403"/>
      <c r="E6" s="403"/>
      <c r="F6" s="403"/>
      <c r="G6" s="403"/>
      <c r="H6" s="403"/>
      <c r="I6" s="403"/>
      <c r="J6" s="131"/>
    </row>
    <row r="7" spans="2:18" ht="37.5" x14ac:dyDescent="0.25">
      <c r="B7" s="232" t="s">
        <v>5</v>
      </c>
      <c r="C7" s="403" t="s">
        <v>354</v>
      </c>
      <c r="D7" s="403"/>
      <c r="E7" s="403"/>
      <c r="F7" s="403"/>
      <c r="G7" s="403"/>
      <c r="H7" s="403"/>
      <c r="I7" s="403"/>
      <c r="J7" s="132" t="s">
        <v>500</v>
      </c>
    </row>
    <row r="8" spans="2:18" ht="23.25" customHeight="1" x14ac:dyDescent="0.25">
      <c r="B8" s="232" t="s">
        <v>6</v>
      </c>
      <c r="C8" s="403" t="s">
        <v>7</v>
      </c>
      <c r="D8" s="403"/>
      <c r="E8" s="403"/>
      <c r="F8" s="403"/>
      <c r="G8" s="403"/>
      <c r="H8" s="403"/>
      <c r="I8" s="403"/>
      <c r="J8" s="133">
        <v>2018</v>
      </c>
    </row>
    <row r="9" spans="2:18" ht="23.25" customHeight="1" x14ac:dyDescent="0.25">
      <c r="B9" s="232" t="s">
        <v>8</v>
      </c>
      <c r="C9" s="403" t="s">
        <v>9</v>
      </c>
      <c r="D9" s="403"/>
      <c r="E9" s="403"/>
      <c r="F9" s="403"/>
      <c r="G9" s="403"/>
      <c r="H9" s="403"/>
      <c r="I9" s="403"/>
      <c r="J9" s="134">
        <v>12</v>
      </c>
    </row>
    <row r="10" spans="2:18" ht="22.5" customHeight="1" x14ac:dyDescent="0.25">
      <c r="B10" s="232" t="s">
        <v>10</v>
      </c>
      <c r="C10" s="493" t="s">
        <v>11</v>
      </c>
      <c r="D10" s="494"/>
      <c r="E10" s="494"/>
      <c r="F10" s="494"/>
      <c r="G10" s="494"/>
      <c r="H10" s="494"/>
      <c r="I10" s="495"/>
      <c r="J10" s="135" t="s">
        <v>445</v>
      </c>
    </row>
    <row r="11" spans="2:18" ht="33.75" x14ac:dyDescent="0.25">
      <c r="B11" s="232" t="s">
        <v>12</v>
      </c>
      <c r="C11" s="493" t="s">
        <v>13</v>
      </c>
      <c r="D11" s="494"/>
      <c r="E11" s="494"/>
      <c r="F11" s="494"/>
      <c r="G11" s="494"/>
      <c r="H11" s="494"/>
      <c r="I11" s="495"/>
      <c r="J11" s="136" t="s">
        <v>363</v>
      </c>
      <c r="K11" s="2" t="s">
        <v>325</v>
      </c>
    </row>
    <row r="12" spans="2:18" x14ac:dyDescent="0.25">
      <c r="B12" s="407" t="s">
        <v>14</v>
      </c>
      <c r="C12" s="407"/>
      <c r="D12" s="407"/>
      <c r="E12" s="407"/>
      <c r="F12" s="407"/>
      <c r="G12" s="407"/>
      <c r="H12" s="407"/>
      <c r="I12" s="407"/>
      <c r="J12" s="407"/>
    </row>
    <row r="13" spans="2:18" s="4" customFormat="1" ht="33.75" customHeight="1" x14ac:dyDescent="0.25">
      <c r="B13" s="408" t="s">
        <v>15</v>
      </c>
      <c r="C13" s="408"/>
      <c r="D13" s="408"/>
      <c r="E13" s="408"/>
      <c r="F13" s="408"/>
      <c r="G13" s="400" t="s">
        <v>16</v>
      </c>
      <c r="H13" s="402"/>
      <c r="I13" s="408" t="s">
        <v>17</v>
      </c>
      <c r="J13" s="408"/>
      <c r="K13" s="2"/>
      <c r="L13" s="3"/>
      <c r="M13" s="3"/>
      <c r="N13" s="3"/>
      <c r="O13" s="3"/>
      <c r="P13" s="3"/>
      <c r="Q13" s="3"/>
      <c r="R13" s="3"/>
    </row>
    <row r="14" spans="2:18" ht="18.75" customHeight="1" x14ac:dyDescent="0.25">
      <c r="B14" s="487" t="s">
        <v>446</v>
      </c>
      <c r="C14" s="487"/>
      <c r="D14" s="487"/>
      <c r="E14" s="487"/>
      <c r="F14" s="487"/>
      <c r="G14" s="488" t="s">
        <v>142</v>
      </c>
      <c r="H14" s="489"/>
      <c r="I14" s="490">
        <v>1</v>
      </c>
      <c r="J14" s="490"/>
    </row>
    <row r="15" spans="2:18" x14ac:dyDescent="0.25">
      <c r="B15" s="399" t="s">
        <v>18</v>
      </c>
      <c r="C15" s="399"/>
      <c r="D15" s="399"/>
      <c r="E15" s="399"/>
      <c r="F15" s="399"/>
      <c r="G15" s="399"/>
      <c r="H15" s="399"/>
      <c r="I15" s="399"/>
      <c r="J15" s="399"/>
      <c r="K15" s="226"/>
    </row>
    <row r="16" spans="2:18" x14ac:dyDescent="0.25">
      <c r="B16" s="467" t="s">
        <v>19</v>
      </c>
      <c r="C16" s="468"/>
      <c r="D16" s="468"/>
      <c r="E16" s="468"/>
      <c r="F16" s="468"/>
      <c r="G16" s="468"/>
      <c r="H16" s="468"/>
      <c r="I16" s="468"/>
      <c r="J16" s="469"/>
      <c r="K16" s="226"/>
    </row>
    <row r="17" spans="2:18" ht="21.75" customHeight="1" x14ac:dyDescent="0.25">
      <c r="B17" s="137">
        <v>1</v>
      </c>
      <c r="C17" s="480" t="s">
        <v>20</v>
      </c>
      <c r="D17" s="481"/>
      <c r="E17" s="481"/>
      <c r="F17" s="481"/>
      <c r="G17" s="481"/>
      <c r="H17" s="482"/>
      <c r="I17" s="483" t="s">
        <v>141</v>
      </c>
      <c r="J17" s="483"/>
      <c r="K17" s="226"/>
    </row>
    <row r="18" spans="2:18" x14ac:dyDescent="0.25">
      <c r="B18" s="137">
        <v>2</v>
      </c>
      <c r="C18" s="480" t="s">
        <v>291</v>
      </c>
      <c r="D18" s="481"/>
      <c r="E18" s="481"/>
      <c r="F18" s="481"/>
      <c r="G18" s="231"/>
      <c r="H18" s="231"/>
      <c r="I18" s="486">
        <v>1047.9000000000001</v>
      </c>
      <c r="J18" s="486"/>
      <c r="K18" s="226"/>
      <c r="L18" s="1"/>
      <c r="M18" s="1"/>
      <c r="N18" s="1"/>
      <c r="O18" s="1"/>
      <c r="P18" s="1"/>
      <c r="Q18" s="1"/>
      <c r="R18" s="1"/>
    </row>
    <row r="19" spans="2:18" x14ac:dyDescent="0.25">
      <c r="B19" s="137">
        <v>3</v>
      </c>
      <c r="C19" s="480" t="s">
        <v>316</v>
      </c>
      <c r="D19" s="481"/>
      <c r="E19" s="481"/>
      <c r="F19" s="481"/>
      <c r="G19" s="481"/>
      <c r="H19" s="482"/>
      <c r="I19" s="483" t="str">
        <f>B14</f>
        <v>Servente de Limpeza</v>
      </c>
      <c r="J19" s="483"/>
      <c r="K19" s="226"/>
      <c r="L19" s="1"/>
      <c r="M19" s="1"/>
      <c r="N19" s="1"/>
      <c r="O19" s="1"/>
      <c r="P19" s="1"/>
      <c r="Q19" s="1"/>
      <c r="R19" s="1"/>
    </row>
    <row r="20" spans="2:18" x14ac:dyDescent="0.25">
      <c r="B20" s="137">
        <v>4</v>
      </c>
      <c r="C20" s="480" t="s">
        <v>21</v>
      </c>
      <c r="D20" s="481"/>
      <c r="E20" s="481"/>
      <c r="F20" s="481"/>
      <c r="G20" s="231"/>
      <c r="H20" s="231"/>
      <c r="I20" s="484">
        <v>43101</v>
      </c>
      <c r="J20" s="485"/>
      <c r="K20" s="226"/>
      <c r="L20" s="1"/>
      <c r="M20" s="1"/>
      <c r="N20" s="1"/>
      <c r="O20" s="1"/>
      <c r="P20" s="1"/>
      <c r="Q20" s="1"/>
      <c r="R20" s="1"/>
    </row>
    <row r="21" spans="2:18" x14ac:dyDescent="0.25">
      <c r="B21" s="399" t="s">
        <v>22</v>
      </c>
      <c r="C21" s="399"/>
      <c r="D21" s="399"/>
      <c r="E21" s="399"/>
      <c r="F21" s="399"/>
      <c r="G21" s="399"/>
      <c r="H21" s="399"/>
      <c r="I21" s="399"/>
      <c r="J21" s="399"/>
      <c r="K21" s="226"/>
      <c r="L21" s="1"/>
      <c r="M21" s="1"/>
      <c r="N21" s="1"/>
      <c r="O21" s="1"/>
      <c r="P21" s="1"/>
      <c r="Q21" s="1"/>
      <c r="R21" s="1"/>
    </row>
    <row r="22" spans="2:18" x14ac:dyDescent="0.25">
      <c r="B22" s="229">
        <v>1</v>
      </c>
      <c r="C22" s="398" t="s">
        <v>23</v>
      </c>
      <c r="D22" s="398"/>
      <c r="E22" s="398"/>
      <c r="F22" s="398"/>
      <c r="G22" s="398"/>
      <c r="H22" s="398"/>
      <c r="I22" s="398"/>
      <c r="J22" s="138" t="s">
        <v>24</v>
      </c>
      <c r="K22" s="226"/>
      <c r="L22" s="1"/>
      <c r="M22" s="1"/>
      <c r="N22" s="1"/>
      <c r="O22" s="1"/>
      <c r="P22" s="1"/>
      <c r="Q22" s="1"/>
      <c r="R22" s="1"/>
    </row>
    <row r="23" spans="2:18" x14ac:dyDescent="0.25">
      <c r="B23" s="137" t="s">
        <v>3</v>
      </c>
      <c r="C23" s="464" t="s">
        <v>25</v>
      </c>
      <c r="D23" s="465"/>
      <c r="E23" s="227"/>
      <c r="F23" s="227"/>
      <c r="G23" s="227"/>
      <c r="H23" s="227"/>
      <c r="I23" s="228"/>
      <c r="J23" s="139">
        <f>+I18</f>
        <v>1047.9000000000001</v>
      </c>
      <c r="K23" s="226"/>
      <c r="L23" s="1"/>
      <c r="M23" s="1"/>
      <c r="N23" s="1"/>
      <c r="O23" s="1"/>
      <c r="P23" s="1"/>
      <c r="Q23" s="1"/>
      <c r="R23" s="1"/>
    </row>
    <row r="24" spans="2:18" x14ac:dyDescent="0.25">
      <c r="B24" s="137" t="s">
        <v>5</v>
      </c>
      <c r="C24" s="452" t="s">
        <v>334</v>
      </c>
      <c r="D24" s="453"/>
      <c r="E24" s="224"/>
      <c r="F24" s="224"/>
      <c r="G24" s="224"/>
      <c r="H24" s="224"/>
      <c r="I24" s="225"/>
      <c r="J24" s="139">
        <v>40.39</v>
      </c>
      <c r="K24" s="226"/>
      <c r="L24" s="1"/>
      <c r="M24" s="1"/>
      <c r="N24" s="1"/>
      <c r="O24" s="1"/>
      <c r="P24" s="1"/>
      <c r="Q24" s="1"/>
      <c r="R24" s="1"/>
    </row>
    <row r="25" spans="2:18" x14ac:dyDescent="0.25">
      <c r="B25" s="137" t="s">
        <v>6</v>
      </c>
      <c r="C25" s="223" t="s">
        <v>333</v>
      </c>
      <c r="D25" s="224"/>
      <c r="E25" s="224"/>
      <c r="F25" s="224"/>
      <c r="G25" s="224"/>
      <c r="H25" s="224"/>
      <c r="I25" s="225"/>
      <c r="J25" s="139">
        <f>J23*0.2</f>
        <v>209.58</v>
      </c>
      <c r="K25" s="104"/>
      <c r="L25" s="1"/>
      <c r="M25" s="1"/>
      <c r="N25" s="1"/>
      <c r="O25" s="1"/>
      <c r="P25" s="1"/>
      <c r="Q25" s="1"/>
      <c r="R25" s="1"/>
    </row>
    <row r="26" spans="2:18" x14ac:dyDescent="0.25">
      <c r="B26" s="137" t="s">
        <v>27</v>
      </c>
      <c r="C26" s="452" t="s">
        <v>28</v>
      </c>
      <c r="D26" s="453"/>
      <c r="E26" s="224"/>
      <c r="F26" s="224"/>
      <c r="G26" s="224"/>
      <c r="H26" s="224"/>
      <c r="I26" s="225"/>
      <c r="J26" s="140">
        <v>0</v>
      </c>
      <c r="L26" s="1"/>
      <c r="M26" s="1"/>
      <c r="N26" s="1"/>
      <c r="O26" s="1"/>
      <c r="P26" s="1"/>
      <c r="Q26" s="1"/>
      <c r="R26" s="1"/>
    </row>
    <row r="27" spans="2:18" x14ac:dyDescent="0.25">
      <c r="B27" s="229"/>
      <c r="C27" s="467" t="s">
        <v>29</v>
      </c>
      <c r="D27" s="468"/>
      <c r="E27" s="468"/>
      <c r="F27" s="468"/>
      <c r="G27" s="468"/>
      <c r="H27" s="468"/>
      <c r="I27" s="469"/>
      <c r="J27" s="141">
        <f>SUM(J23:J26)</f>
        <v>1297.8699999999999</v>
      </c>
      <c r="L27" s="1"/>
      <c r="M27" s="1"/>
      <c r="N27" s="1"/>
      <c r="O27" s="1"/>
      <c r="P27" s="1"/>
      <c r="Q27" s="1"/>
      <c r="R27" s="1"/>
    </row>
    <row r="28" spans="2:18" x14ac:dyDescent="0.25">
      <c r="B28" s="399" t="s">
        <v>30</v>
      </c>
      <c r="C28" s="399"/>
      <c r="D28" s="399"/>
      <c r="E28" s="399"/>
      <c r="F28" s="399"/>
      <c r="G28" s="399"/>
      <c r="H28" s="399"/>
      <c r="I28" s="399"/>
      <c r="J28" s="399"/>
      <c r="L28" s="1"/>
      <c r="M28" s="1"/>
      <c r="N28" s="1"/>
      <c r="O28" s="1"/>
      <c r="P28" s="1"/>
      <c r="Q28" s="1"/>
      <c r="R28" s="1"/>
    </row>
    <row r="29" spans="2:18" x14ac:dyDescent="0.25">
      <c r="B29" s="229">
        <v>2</v>
      </c>
      <c r="C29" s="398" t="s">
        <v>31</v>
      </c>
      <c r="D29" s="398"/>
      <c r="E29" s="398"/>
      <c r="F29" s="398"/>
      <c r="G29" s="398"/>
      <c r="H29" s="398"/>
      <c r="I29" s="398"/>
      <c r="J29" s="138" t="s">
        <v>24</v>
      </c>
      <c r="L29" s="1"/>
      <c r="M29" s="1"/>
      <c r="N29" s="1"/>
      <c r="O29" s="1"/>
      <c r="P29" s="1"/>
      <c r="Q29" s="1"/>
      <c r="R29" s="1"/>
    </row>
    <row r="30" spans="2:18" x14ac:dyDescent="0.25">
      <c r="B30" s="410" t="s">
        <v>3</v>
      </c>
      <c r="C30" s="426" t="s">
        <v>32</v>
      </c>
      <c r="D30" s="427"/>
      <c r="E30" s="428"/>
      <c r="F30" s="232" t="s">
        <v>33</v>
      </c>
      <c r="G30" s="232" t="s">
        <v>34</v>
      </c>
      <c r="H30" s="232" t="s">
        <v>35</v>
      </c>
      <c r="I30" s="232" t="s">
        <v>36</v>
      </c>
      <c r="J30" s="475">
        <v>50</v>
      </c>
      <c r="K30" s="477" t="s">
        <v>37</v>
      </c>
      <c r="L30" s="477"/>
      <c r="M30" s="477"/>
      <c r="N30" s="477"/>
      <c r="O30" s="477"/>
      <c r="P30" s="477"/>
      <c r="Q30" s="1"/>
      <c r="R30" s="1"/>
    </row>
    <row r="31" spans="2:18" x14ac:dyDescent="0.25">
      <c r="B31" s="411"/>
      <c r="C31" s="429" t="s">
        <v>38</v>
      </c>
      <c r="D31" s="430"/>
      <c r="E31" s="431"/>
      <c r="F31" s="142">
        <v>2</v>
      </c>
      <c r="G31" s="143">
        <v>50</v>
      </c>
      <c r="H31" s="144">
        <v>1</v>
      </c>
      <c r="I31" s="145">
        <v>0</v>
      </c>
      <c r="J31" s="476"/>
      <c r="K31" s="477"/>
      <c r="L31" s="477"/>
      <c r="M31" s="477"/>
      <c r="N31" s="477"/>
      <c r="O31" s="477"/>
      <c r="P31" s="477"/>
      <c r="Q31" s="1"/>
      <c r="R31" s="1"/>
    </row>
    <row r="32" spans="2:18" x14ac:dyDescent="0.25">
      <c r="B32" s="410" t="s">
        <v>5</v>
      </c>
      <c r="C32" s="218" t="s">
        <v>39</v>
      </c>
      <c r="D32" s="219"/>
      <c r="E32" s="219"/>
      <c r="F32" s="219"/>
      <c r="G32" s="232" t="s">
        <v>34</v>
      </c>
      <c r="H32" s="232" t="s">
        <v>35</v>
      </c>
      <c r="I32" s="232" t="s">
        <v>36</v>
      </c>
      <c r="J32" s="478">
        <f>((G33-I33)*H33)</f>
        <v>277.2</v>
      </c>
      <c r="K32" s="477" t="s">
        <v>335</v>
      </c>
      <c r="L32" s="477"/>
      <c r="M32" s="477"/>
      <c r="N32" s="477"/>
      <c r="O32" s="477"/>
      <c r="P32" s="477"/>
      <c r="Q32" s="1"/>
      <c r="R32" s="1"/>
    </row>
    <row r="33" spans="2:18" x14ac:dyDescent="0.25">
      <c r="B33" s="411"/>
      <c r="C33" s="220" t="s">
        <v>201</v>
      </c>
      <c r="D33" s="221"/>
      <c r="E33" s="221"/>
      <c r="F33" s="221"/>
      <c r="G33" s="143">
        <v>14</v>
      </c>
      <c r="H33" s="144">
        <v>22</v>
      </c>
      <c r="I33" s="145">
        <v>1.4</v>
      </c>
      <c r="J33" s="479"/>
      <c r="K33" s="477"/>
      <c r="L33" s="477"/>
      <c r="M33" s="477"/>
      <c r="N33" s="477"/>
      <c r="O33" s="477"/>
      <c r="P33" s="477"/>
      <c r="Q33" s="1"/>
      <c r="R33" s="1"/>
    </row>
    <row r="34" spans="2:18" x14ac:dyDescent="0.25">
      <c r="B34" s="137" t="s">
        <v>6</v>
      </c>
      <c r="C34" s="452" t="s">
        <v>326</v>
      </c>
      <c r="D34" s="453"/>
      <c r="E34" s="453"/>
      <c r="F34" s="453"/>
      <c r="G34" s="453"/>
      <c r="H34" s="453"/>
      <c r="I34" s="455"/>
      <c r="J34" s="146">
        <v>0</v>
      </c>
      <c r="K34" s="471"/>
      <c r="L34" s="472"/>
      <c r="M34" s="472"/>
      <c r="N34" s="472"/>
      <c r="O34" s="472"/>
      <c r="P34" s="472"/>
      <c r="Q34" s="1"/>
      <c r="R34" s="1"/>
    </row>
    <row r="35" spans="2:18" x14ac:dyDescent="0.25">
      <c r="B35" s="137" t="s">
        <v>8</v>
      </c>
      <c r="C35" s="452" t="s">
        <v>447</v>
      </c>
      <c r="D35" s="453"/>
      <c r="E35" s="453"/>
      <c r="F35" s="453"/>
      <c r="G35" s="453"/>
      <c r="H35" s="453"/>
      <c r="I35" s="455"/>
      <c r="J35" s="146">
        <v>22.7</v>
      </c>
      <c r="K35" s="471"/>
      <c r="L35" s="472"/>
      <c r="M35" s="472"/>
      <c r="N35" s="472"/>
      <c r="O35" s="472"/>
      <c r="P35" s="472"/>
      <c r="Q35" s="1"/>
      <c r="R35" s="1"/>
    </row>
    <row r="36" spans="2:18" x14ac:dyDescent="0.25">
      <c r="B36" s="137" t="s">
        <v>10</v>
      </c>
      <c r="C36" s="452" t="s">
        <v>327</v>
      </c>
      <c r="D36" s="453"/>
      <c r="E36" s="453"/>
      <c r="F36" s="453"/>
      <c r="G36" s="453"/>
      <c r="H36" s="453"/>
      <c r="I36" s="455"/>
      <c r="J36" s="146">
        <v>5</v>
      </c>
      <c r="K36" s="473" t="s">
        <v>202</v>
      </c>
      <c r="L36" s="474"/>
      <c r="M36" s="474"/>
      <c r="N36" s="474"/>
      <c r="O36" s="474"/>
      <c r="P36" s="474"/>
      <c r="Q36" s="1"/>
      <c r="R36" s="1"/>
    </row>
    <row r="37" spans="2:18" x14ac:dyDescent="0.25">
      <c r="B37" s="137" t="s">
        <v>12</v>
      </c>
      <c r="C37" s="452" t="s">
        <v>448</v>
      </c>
      <c r="D37" s="453"/>
      <c r="E37" s="453"/>
      <c r="F37" s="453"/>
      <c r="G37" s="453"/>
      <c r="H37" s="453"/>
      <c r="I37" s="455"/>
      <c r="J37" s="146">
        <v>110</v>
      </c>
      <c r="K37" s="471"/>
      <c r="L37" s="472"/>
      <c r="M37" s="472"/>
      <c r="N37" s="472"/>
      <c r="O37" s="472"/>
      <c r="P37" s="472"/>
      <c r="Q37" s="1"/>
      <c r="R37" s="1"/>
    </row>
    <row r="38" spans="2:18" x14ac:dyDescent="0.25">
      <c r="B38" s="229"/>
      <c r="C38" s="467" t="s">
        <v>40</v>
      </c>
      <c r="D38" s="468"/>
      <c r="E38" s="468"/>
      <c r="F38" s="468"/>
      <c r="G38" s="468"/>
      <c r="H38" s="468"/>
      <c r="I38" s="469"/>
      <c r="J38" s="147">
        <f>SUM(J30:J37)</f>
        <v>464.9</v>
      </c>
      <c r="Q38" s="1"/>
      <c r="R38" s="1"/>
    </row>
    <row r="39" spans="2:18" s="226" customFormat="1" x14ac:dyDescent="0.25">
      <c r="B39" s="470" t="s">
        <v>355</v>
      </c>
      <c r="C39" s="470"/>
      <c r="D39" s="470"/>
      <c r="E39" s="470"/>
      <c r="F39" s="470"/>
      <c r="G39" s="470"/>
      <c r="H39" s="470"/>
      <c r="I39" s="470"/>
      <c r="J39" s="470"/>
      <c r="K39" s="217"/>
    </row>
    <row r="40" spans="2:18" x14ac:dyDescent="0.25">
      <c r="B40" s="399" t="s">
        <v>41</v>
      </c>
      <c r="C40" s="399"/>
      <c r="D40" s="399"/>
      <c r="E40" s="399"/>
      <c r="F40" s="399"/>
      <c r="G40" s="399"/>
      <c r="H40" s="399"/>
      <c r="I40" s="399"/>
      <c r="J40" s="399"/>
      <c r="Q40" s="1"/>
      <c r="R40" s="1"/>
    </row>
    <row r="41" spans="2:18" x14ac:dyDescent="0.25">
      <c r="B41" s="229">
        <v>3</v>
      </c>
      <c r="C41" s="398" t="s">
        <v>42</v>
      </c>
      <c r="D41" s="398"/>
      <c r="E41" s="398"/>
      <c r="F41" s="398"/>
      <c r="G41" s="398"/>
      <c r="H41" s="398"/>
      <c r="I41" s="398"/>
      <c r="J41" s="138" t="s">
        <v>24</v>
      </c>
      <c r="Q41" s="1"/>
      <c r="R41" s="1"/>
    </row>
    <row r="42" spans="2:18" x14ac:dyDescent="0.25">
      <c r="B42" s="137" t="s">
        <v>3</v>
      </c>
      <c r="C42" s="464" t="s">
        <v>139</v>
      </c>
      <c r="D42" s="465"/>
      <c r="E42" s="465"/>
      <c r="F42" s="465"/>
      <c r="G42" s="465"/>
      <c r="H42" s="465"/>
      <c r="I42" s="466"/>
      <c r="J42" s="139">
        <f>'Unif. Serv'!E10</f>
        <v>27.26</v>
      </c>
      <c r="K42" s="230" t="s">
        <v>294</v>
      </c>
      <c r="Q42" s="1"/>
      <c r="R42" s="1"/>
    </row>
    <row r="43" spans="2:18" x14ac:dyDescent="0.25">
      <c r="B43" s="137" t="s">
        <v>5</v>
      </c>
      <c r="C43" s="464" t="s">
        <v>43</v>
      </c>
      <c r="D43" s="465"/>
      <c r="E43" s="465"/>
      <c r="F43" s="465"/>
      <c r="G43" s="465"/>
      <c r="H43" s="465"/>
      <c r="I43" s="466"/>
      <c r="J43" s="139">
        <v>250</v>
      </c>
      <c r="K43" s="230" t="s">
        <v>328</v>
      </c>
      <c r="Q43" s="1"/>
      <c r="R43" s="1"/>
    </row>
    <row r="44" spans="2:18" x14ac:dyDescent="0.25">
      <c r="B44" s="137" t="s">
        <v>6</v>
      </c>
      <c r="C44" s="464" t="s">
        <v>44</v>
      </c>
      <c r="D44" s="465"/>
      <c r="E44" s="465"/>
      <c r="F44" s="465"/>
      <c r="G44" s="465"/>
      <c r="H44" s="465"/>
      <c r="I44" s="466"/>
      <c r="J44" s="139">
        <v>30</v>
      </c>
      <c r="K44" s="217" t="s">
        <v>328</v>
      </c>
      <c r="Q44" s="1"/>
      <c r="R44" s="1"/>
    </row>
    <row r="45" spans="2:18" x14ac:dyDescent="0.25">
      <c r="B45" s="137" t="s">
        <v>8</v>
      </c>
      <c r="C45" s="452" t="s">
        <v>331</v>
      </c>
      <c r="D45" s="453"/>
      <c r="E45" s="453"/>
      <c r="F45" s="453"/>
      <c r="G45" s="453"/>
      <c r="H45" s="453"/>
      <c r="I45" s="455"/>
      <c r="J45" s="140">
        <v>0</v>
      </c>
      <c r="K45" s="12"/>
      <c r="N45" s="1"/>
      <c r="O45" s="1"/>
      <c r="P45" s="1"/>
      <c r="Q45" s="1"/>
      <c r="R45" s="1"/>
    </row>
    <row r="46" spans="2:18" x14ac:dyDescent="0.25">
      <c r="B46" s="229"/>
      <c r="C46" s="467" t="s">
        <v>45</v>
      </c>
      <c r="D46" s="468"/>
      <c r="E46" s="468"/>
      <c r="F46" s="468"/>
      <c r="G46" s="468"/>
      <c r="H46" s="468"/>
      <c r="I46" s="469"/>
      <c r="J46" s="141">
        <f>SUM(J42:J45)</f>
        <v>307.26</v>
      </c>
      <c r="N46" s="1"/>
      <c r="O46" s="1"/>
      <c r="P46" s="1"/>
      <c r="Q46" s="1"/>
      <c r="R46" s="1"/>
    </row>
    <row r="47" spans="2:18" s="226" customFormat="1" x14ac:dyDescent="0.25">
      <c r="B47" s="470" t="s">
        <v>356</v>
      </c>
      <c r="C47" s="470"/>
      <c r="D47" s="470"/>
      <c r="E47" s="470"/>
      <c r="F47" s="470"/>
      <c r="G47" s="470"/>
      <c r="H47" s="470"/>
      <c r="I47" s="470"/>
      <c r="J47" s="470"/>
      <c r="K47" s="217"/>
    </row>
    <row r="48" spans="2:18" x14ac:dyDescent="0.25">
      <c r="B48" s="399" t="s">
        <v>46</v>
      </c>
      <c r="C48" s="399"/>
      <c r="D48" s="399"/>
      <c r="E48" s="399"/>
      <c r="F48" s="399"/>
      <c r="G48" s="399"/>
      <c r="H48" s="399"/>
      <c r="I48" s="399"/>
      <c r="J48" s="399"/>
      <c r="N48" s="1"/>
      <c r="O48" s="1"/>
      <c r="P48" s="1"/>
      <c r="Q48" s="1"/>
      <c r="R48" s="1"/>
    </row>
    <row r="49" spans="2:18" x14ac:dyDescent="0.25">
      <c r="B49" s="407" t="s">
        <v>47</v>
      </c>
      <c r="C49" s="407"/>
      <c r="D49" s="407"/>
      <c r="E49" s="407"/>
      <c r="F49" s="407"/>
      <c r="G49" s="407"/>
      <c r="H49" s="407"/>
      <c r="I49" s="407"/>
      <c r="J49" s="407"/>
      <c r="N49" s="1"/>
      <c r="O49" s="1"/>
      <c r="P49" s="1"/>
      <c r="Q49" s="1"/>
      <c r="R49" s="1"/>
    </row>
    <row r="50" spans="2:18" x14ac:dyDescent="0.25">
      <c r="B50" s="229" t="s">
        <v>48</v>
      </c>
      <c r="C50" s="398" t="s">
        <v>49</v>
      </c>
      <c r="D50" s="398"/>
      <c r="E50" s="398"/>
      <c r="F50" s="398"/>
      <c r="G50" s="398"/>
      <c r="H50" s="398"/>
      <c r="I50" s="229" t="s">
        <v>50</v>
      </c>
      <c r="J50" s="138" t="s">
        <v>24</v>
      </c>
      <c r="M50" s="226" t="s">
        <v>51</v>
      </c>
      <c r="N50" s="1"/>
      <c r="O50" s="1"/>
      <c r="P50" s="1"/>
      <c r="Q50" s="1"/>
      <c r="R50" s="1"/>
    </row>
    <row r="51" spans="2:18" x14ac:dyDescent="0.25">
      <c r="B51" s="137" t="s">
        <v>3</v>
      </c>
      <c r="C51" s="396" t="s">
        <v>52</v>
      </c>
      <c r="D51" s="396"/>
      <c r="E51" s="396"/>
      <c r="F51" s="396"/>
      <c r="G51" s="396"/>
      <c r="H51" s="396"/>
      <c r="I51" s="148">
        <v>0.2</v>
      </c>
      <c r="J51" s="140">
        <f>ROUND($J$27*I51,2)</f>
        <v>259.57</v>
      </c>
      <c r="K51" s="425" t="s">
        <v>53</v>
      </c>
      <c r="L51" s="425"/>
      <c r="N51" s="1"/>
      <c r="O51" s="1"/>
      <c r="P51" s="1"/>
      <c r="Q51" s="1"/>
      <c r="R51" s="1"/>
    </row>
    <row r="52" spans="2:18" x14ac:dyDescent="0.25">
      <c r="B52" s="137" t="s">
        <v>5</v>
      </c>
      <c r="C52" s="396" t="s">
        <v>54</v>
      </c>
      <c r="D52" s="396"/>
      <c r="E52" s="396"/>
      <c r="F52" s="396"/>
      <c r="G52" s="396"/>
      <c r="H52" s="396"/>
      <c r="I52" s="148">
        <v>0</v>
      </c>
      <c r="J52" s="140">
        <f t="shared" ref="J52:J57" si="0">ROUND($J$27*I52,2)</f>
        <v>0</v>
      </c>
      <c r="K52" s="425" t="s">
        <v>55</v>
      </c>
      <c r="L52" s="425"/>
      <c r="M52" s="217"/>
      <c r="N52" s="1"/>
      <c r="O52" s="1"/>
      <c r="P52" s="1"/>
      <c r="Q52" s="1"/>
      <c r="R52" s="1"/>
    </row>
    <row r="53" spans="2:18" x14ac:dyDescent="0.25">
      <c r="B53" s="137" t="s">
        <v>6</v>
      </c>
      <c r="C53" s="396" t="s">
        <v>56</v>
      </c>
      <c r="D53" s="396"/>
      <c r="E53" s="396"/>
      <c r="F53" s="396"/>
      <c r="G53" s="396"/>
      <c r="H53" s="396"/>
      <c r="I53" s="148">
        <v>0</v>
      </c>
      <c r="J53" s="140">
        <f t="shared" si="0"/>
        <v>0</v>
      </c>
      <c r="K53" s="425" t="s">
        <v>57</v>
      </c>
      <c r="L53" s="425"/>
      <c r="M53" s="217"/>
      <c r="N53" s="1"/>
      <c r="O53" s="1"/>
      <c r="P53" s="1"/>
      <c r="Q53" s="1"/>
      <c r="R53" s="1"/>
    </row>
    <row r="54" spans="2:18" x14ac:dyDescent="0.25">
      <c r="B54" s="137" t="s">
        <v>8</v>
      </c>
      <c r="C54" s="396" t="s">
        <v>58</v>
      </c>
      <c r="D54" s="396"/>
      <c r="E54" s="396"/>
      <c r="F54" s="396"/>
      <c r="G54" s="396"/>
      <c r="H54" s="396"/>
      <c r="I54" s="148">
        <v>0</v>
      </c>
      <c r="J54" s="140">
        <f t="shared" si="0"/>
        <v>0</v>
      </c>
      <c r="K54" s="425" t="s">
        <v>59</v>
      </c>
      <c r="L54" s="425"/>
      <c r="M54" s="217"/>
      <c r="N54" s="1"/>
      <c r="O54" s="1"/>
      <c r="P54" s="1"/>
      <c r="Q54" s="1"/>
      <c r="R54" s="1"/>
    </row>
    <row r="55" spans="2:18" x14ac:dyDescent="0.25">
      <c r="B55" s="137" t="s">
        <v>10</v>
      </c>
      <c r="C55" s="396" t="s">
        <v>60</v>
      </c>
      <c r="D55" s="396"/>
      <c r="E55" s="396"/>
      <c r="F55" s="396"/>
      <c r="G55" s="396"/>
      <c r="H55" s="396"/>
      <c r="I55" s="149">
        <v>0</v>
      </c>
      <c r="J55" s="140">
        <f t="shared" si="0"/>
        <v>0</v>
      </c>
      <c r="K55" s="425" t="s">
        <v>61</v>
      </c>
      <c r="L55" s="425"/>
      <c r="M55" s="217"/>
      <c r="N55" s="1"/>
      <c r="O55" s="1"/>
      <c r="P55" s="1"/>
      <c r="Q55" s="1"/>
      <c r="R55" s="1"/>
    </row>
    <row r="56" spans="2:18" x14ac:dyDescent="0.25">
      <c r="B56" s="137" t="s">
        <v>12</v>
      </c>
      <c r="C56" s="396" t="s">
        <v>62</v>
      </c>
      <c r="D56" s="396"/>
      <c r="E56" s="396"/>
      <c r="F56" s="396"/>
      <c r="G56" s="396"/>
      <c r="H56" s="396"/>
      <c r="I56" s="149">
        <v>0.08</v>
      </c>
      <c r="J56" s="140">
        <f t="shared" si="0"/>
        <v>103.83</v>
      </c>
      <c r="K56" s="425" t="s">
        <v>63</v>
      </c>
      <c r="L56" s="425"/>
      <c r="M56" s="6" t="s">
        <v>64</v>
      </c>
      <c r="N56" s="1"/>
      <c r="O56" s="1"/>
      <c r="P56" s="1"/>
      <c r="Q56" s="1"/>
      <c r="R56" s="1"/>
    </row>
    <row r="57" spans="2:18" ht="12.75" customHeight="1" x14ac:dyDescent="0.25">
      <c r="B57" s="459" t="s">
        <v>26</v>
      </c>
      <c r="C57" s="412" t="s">
        <v>65</v>
      </c>
      <c r="D57" s="413"/>
      <c r="E57" s="413"/>
      <c r="F57" s="414"/>
      <c r="G57" s="150" t="s">
        <v>66</v>
      </c>
      <c r="H57" s="150" t="s">
        <v>67</v>
      </c>
      <c r="I57" s="461">
        <f>G58*H58</f>
        <v>0.03</v>
      </c>
      <c r="J57" s="417">
        <f t="shared" si="0"/>
        <v>38.94</v>
      </c>
      <c r="K57" s="463" t="s">
        <v>68</v>
      </c>
      <c r="L57" s="463"/>
      <c r="M57" s="217" t="s">
        <v>144</v>
      </c>
      <c r="N57" s="1"/>
      <c r="O57" s="1"/>
      <c r="P57" s="1"/>
      <c r="Q57" s="1"/>
      <c r="R57" s="1"/>
    </row>
    <row r="58" spans="2:18" x14ac:dyDescent="0.25">
      <c r="B58" s="460"/>
      <c r="C58" s="438"/>
      <c r="D58" s="439"/>
      <c r="E58" s="439"/>
      <c r="F58" s="440"/>
      <c r="G58" s="216">
        <v>0.03</v>
      </c>
      <c r="H58" s="151">
        <v>1</v>
      </c>
      <c r="I58" s="462"/>
      <c r="J58" s="418"/>
      <c r="K58" s="463"/>
      <c r="L58" s="463"/>
      <c r="M58" s="217" t="s">
        <v>69</v>
      </c>
      <c r="N58" s="1"/>
      <c r="O58" s="1"/>
      <c r="P58" s="1"/>
      <c r="Q58" s="1"/>
      <c r="R58" s="1"/>
    </row>
    <row r="59" spans="2:18" x14ac:dyDescent="0.25">
      <c r="B59" s="137" t="s">
        <v>27</v>
      </c>
      <c r="C59" s="452" t="s">
        <v>70</v>
      </c>
      <c r="D59" s="453"/>
      <c r="E59" s="453"/>
      <c r="F59" s="453"/>
      <c r="G59" s="453"/>
      <c r="H59" s="454"/>
      <c r="I59" s="148">
        <v>0</v>
      </c>
      <c r="J59" s="140">
        <f>ROUND($J$27*I59,2)</f>
        <v>0</v>
      </c>
      <c r="K59" s="425" t="s">
        <v>71</v>
      </c>
      <c r="L59" s="425"/>
      <c r="M59" s="217" t="s">
        <v>145</v>
      </c>
      <c r="N59" s="1"/>
      <c r="O59" s="1"/>
      <c r="P59" s="1"/>
      <c r="Q59" s="1"/>
      <c r="R59" s="1"/>
    </row>
    <row r="60" spans="2:18" x14ac:dyDescent="0.25">
      <c r="B60" s="137" t="s">
        <v>72</v>
      </c>
      <c r="C60" s="452" t="s">
        <v>73</v>
      </c>
      <c r="D60" s="453"/>
      <c r="E60" s="453"/>
      <c r="F60" s="453"/>
      <c r="G60" s="453"/>
      <c r="H60" s="455"/>
      <c r="I60" s="152">
        <v>0</v>
      </c>
      <c r="J60" s="140">
        <f>ROUND($J$27*I60,2)</f>
        <v>0</v>
      </c>
      <c r="K60" s="425" t="s">
        <v>74</v>
      </c>
      <c r="L60" s="425"/>
      <c r="M60" s="217"/>
      <c r="N60" s="1"/>
      <c r="O60" s="1"/>
      <c r="P60" s="1"/>
      <c r="Q60" s="1"/>
      <c r="R60" s="1"/>
    </row>
    <row r="61" spans="2:18" x14ac:dyDescent="0.25">
      <c r="B61" s="229"/>
      <c r="C61" s="456" t="s">
        <v>75</v>
      </c>
      <c r="D61" s="457"/>
      <c r="E61" s="457"/>
      <c r="F61" s="457"/>
      <c r="G61" s="457"/>
      <c r="H61" s="458"/>
      <c r="I61" s="153">
        <f>(I51+I52+I53+I54+I55+I56+I57+I59)</f>
        <v>0.31</v>
      </c>
      <c r="J61" s="141">
        <f>SUM(J51:J60)</f>
        <v>402.34</v>
      </c>
      <c r="M61" s="1"/>
      <c r="N61" s="1"/>
      <c r="O61" s="1"/>
      <c r="P61" s="1"/>
      <c r="Q61" s="1"/>
      <c r="R61" s="1"/>
    </row>
    <row r="62" spans="2:18" x14ac:dyDescent="0.25">
      <c r="B62" s="407" t="s">
        <v>76</v>
      </c>
      <c r="C62" s="407"/>
      <c r="D62" s="407"/>
      <c r="E62" s="407"/>
      <c r="F62" s="407"/>
      <c r="G62" s="407"/>
      <c r="H62" s="407"/>
      <c r="I62" s="407"/>
      <c r="J62" s="407"/>
      <c r="M62" s="1"/>
      <c r="N62" s="1"/>
      <c r="O62" s="1"/>
      <c r="P62" s="1"/>
      <c r="Q62" s="1"/>
      <c r="R62" s="1"/>
    </row>
    <row r="63" spans="2:18" x14ac:dyDescent="0.25">
      <c r="B63" s="229" t="s">
        <v>77</v>
      </c>
      <c r="C63" s="398" t="s">
        <v>78</v>
      </c>
      <c r="D63" s="398"/>
      <c r="E63" s="398"/>
      <c r="F63" s="398"/>
      <c r="G63" s="398"/>
      <c r="H63" s="398"/>
      <c r="I63" s="229" t="s">
        <v>50</v>
      </c>
      <c r="J63" s="138" t="s">
        <v>24</v>
      </c>
      <c r="M63" s="1"/>
      <c r="N63" s="1"/>
      <c r="O63" s="1"/>
      <c r="P63" s="1"/>
      <c r="Q63" s="1"/>
      <c r="R63" s="1"/>
    </row>
    <row r="64" spans="2:18" x14ac:dyDescent="0.25">
      <c r="B64" s="410" t="s">
        <v>3</v>
      </c>
      <c r="C64" s="426" t="s">
        <v>79</v>
      </c>
      <c r="D64" s="427"/>
      <c r="E64" s="427"/>
      <c r="F64" s="427"/>
      <c r="G64" s="427"/>
      <c r="H64" s="428"/>
      <c r="I64" s="446">
        <f>+J64/$J$27</f>
        <v>8.3299999999999999E-2</v>
      </c>
      <c r="J64" s="417">
        <f>ROUND($J$27/12,2)</f>
        <v>108.16</v>
      </c>
      <c r="K64" s="217" t="s">
        <v>80</v>
      </c>
      <c r="M64" s="1"/>
      <c r="N64" s="1"/>
      <c r="O64" s="1"/>
      <c r="P64" s="1"/>
      <c r="Q64" s="1"/>
      <c r="R64" s="1"/>
    </row>
    <row r="65" spans="2:18" x14ac:dyDescent="0.25">
      <c r="B65" s="411"/>
      <c r="C65" s="429" t="s">
        <v>80</v>
      </c>
      <c r="D65" s="430"/>
      <c r="E65" s="430"/>
      <c r="F65" s="430"/>
      <c r="G65" s="430"/>
      <c r="H65" s="431"/>
      <c r="I65" s="447"/>
      <c r="J65" s="418"/>
      <c r="L65" s="28"/>
      <c r="M65" s="1"/>
      <c r="N65" s="1"/>
      <c r="O65" s="1"/>
      <c r="P65" s="1"/>
      <c r="Q65" s="1"/>
      <c r="R65" s="1"/>
    </row>
    <row r="66" spans="2:18" x14ac:dyDescent="0.25">
      <c r="B66" s="222"/>
      <c r="C66" s="449" t="s">
        <v>81</v>
      </c>
      <c r="D66" s="450"/>
      <c r="E66" s="450"/>
      <c r="F66" s="450"/>
      <c r="G66" s="450"/>
      <c r="H66" s="451"/>
      <c r="I66" s="154"/>
      <c r="J66" s="155">
        <f>SUM(J64:J64)</f>
        <v>108.16</v>
      </c>
      <c r="K66" s="7">
        <f>+J66/J27</f>
        <v>8.3299999999999999E-2</v>
      </c>
      <c r="L66" s="8"/>
      <c r="M66" s="1"/>
      <c r="N66" s="1"/>
      <c r="O66" s="1"/>
      <c r="P66" s="1"/>
      <c r="Q66" s="1"/>
      <c r="R66" s="1"/>
    </row>
    <row r="67" spans="2:18" ht="12.75" customHeight="1" x14ac:dyDescent="0.25">
      <c r="B67" s="410" t="s">
        <v>5</v>
      </c>
      <c r="C67" s="412" t="s">
        <v>82</v>
      </c>
      <c r="D67" s="413"/>
      <c r="E67" s="413"/>
      <c r="F67" s="413"/>
      <c r="G67" s="413"/>
      <c r="H67" s="414"/>
      <c r="I67" s="446">
        <v>2.7799999999999998E-2</v>
      </c>
      <c r="J67" s="417">
        <f>ROUND(J66*$I$61,2)</f>
        <v>33.53</v>
      </c>
      <c r="K67" s="217" t="s">
        <v>83</v>
      </c>
      <c r="M67" s="1"/>
      <c r="N67" s="1"/>
      <c r="O67" s="1"/>
      <c r="P67" s="1"/>
      <c r="Q67" s="1"/>
      <c r="R67" s="1"/>
    </row>
    <row r="68" spans="2:18" x14ac:dyDescent="0.25">
      <c r="B68" s="411"/>
      <c r="C68" s="419" t="s">
        <v>84</v>
      </c>
      <c r="D68" s="420"/>
      <c r="E68" s="420"/>
      <c r="F68" s="420"/>
      <c r="G68" s="420"/>
      <c r="H68" s="421"/>
      <c r="I68" s="447"/>
      <c r="J68" s="418"/>
      <c r="L68" s="28"/>
      <c r="M68" s="1"/>
      <c r="N68" s="1"/>
      <c r="O68" s="1"/>
      <c r="P68" s="1"/>
      <c r="Q68" s="1"/>
      <c r="R68" s="1"/>
    </row>
    <row r="69" spans="2:18" x14ac:dyDescent="0.25">
      <c r="B69" s="229"/>
      <c r="C69" s="398" t="s">
        <v>75</v>
      </c>
      <c r="D69" s="398"/>
      <c r="E69" s="398"/>
      <c r="F69" s="398"/>
      <c r="G69" s="398"/>
      <c r="H69" s="398"/>
      <c r="I69" s="153">
        <f>+I64+I67</f>
        <v>0.1111</v>
      </c>
      <c r="J69" s="141">
        <f>SUM(J66:J67)</f>
        <v>141.69</v>
      </c>
      <c r="M69" s="1"/>
      <c r="N69" s="1"/>
      <c r="O69" s="1"/>
      <c r="P69" s="1"/>
      <c r="Q69" s="1"/>
      <c r="R69" s="1"/>
    </row>
    <row r="70" spans="2:18" x14ac:dyDescent="0.25">
      <c r="B70" s="407" t="s">
        <v>85</v>
      </c>
      <c r="C70" s="407"/>
      <c r="D70" s="407"/>
      <c r="E70" s="407"/>
      <c r="F70" s="407"/>
      <c r="G70" s="407"/>
      <c r="H70" s="407"/>
      <c r="I70" s="407"/>
      <c r="J70" s="407"/>
      <c r="M70" s="1"/>
      <c r="N70" s="1"/>
      <c r="O70" s="1"/>
      <c r="P70" s="1"/>
      <c r="Q70" s="1"/>
      <c r="R70" s="1"/>
    </row>
    <row r="71" spans="2:18" x14ac:dyDescent="0.25">
      <c r="B71" s="229" t="s">
        <v>86</v>
      </c>
      <c r="C71" s="398" t="s">
        <v>87</v>
      </c>
      <c r="D71" s="398"/>
      <c r="E71" s="398"/>
      <c r="F71" s="398"/>
      <c r="G71" s="398"/>
      <c r="H71" s="398"/>
      <c r="I71" s="229" t="s">
        <v>50</v>
      </c>
      <c r="J71" s="138" t="s">
        <v>24</v>
      </c>
      <c r="M71" s="1"/>
      <c r="N71" s="1"/>
      <c r="O71" s="1"/>
      <c r="P71" s="1"/>
      <c r="Q71" s="1"/>
      <c r="R71" s="1"/>
    </row>
    <row r="72" spans="2:18" x14ac:dyDescent="0.25">
      <c r="B72" s="410" t="s">
        <v>3</v>
      </c>
      <c r="C72" s="426" t="s">
        <v>88</v>
      </c>
      <c r="D72" s="427"/>
      <c r="E72" s="427"/>
      <c r="F72" s="427"/>
      <c r="G72" s="427"/>
      <c r="H72" s="428"/>
      <c r="I72" s="446">
        <f>J72/$J$27</f>
        <v>6.9999999999999999E-4</v>
      </c>
      <c r="J72" s="417">
        <f>ROUND(((($J$27+(J27/3))/12)*(4/12))*2%,2)</f>
        <v>0.96</v>
      </c>
      <c r="K72" s="7" t="s">
        <v>89</v>
      </c>
      <c r="M72" s="1"/>
      <c r="N72" s="1"/>
      <c r="O72" s="1"/>
      <c r="P72" s="1"/>
      <c r="Q72" s="1"/>
      <c r="R72" s="1"/>
    </row>
    <row r="73" spans="2:18" x14ac:dyDescent="0.25">
      <c r="B73" s="411"/>
      <c r="C73" s="448" t="s">
        <v>89</v>
      </c>
      <c r="D73" s="430"/>
      <c r="E73" s="430"/>
      <c r="F73" s="430"/>
      <c r="G73" s="430"/>
      <c r="H73" s="431"/>
      <c r="I73" s="447"/>
      <c r="J73" s="418"/>
      <c r="K73" s="7"/>
      <c r="M73" s="1"/>
      <c r="N73" s="1"/>
      <c r="O73" s="1"/>
      <c r="P73" s="1"/>
      <c r="Q73" s="1"/>
      <c r="R73" s="1"/>
    </row>
    <row r="74" spans="2:18" ht="12.75" customHeight="1" x14ac:dyDescent="0.25">
      <c r="B74" s="410" t="s">
        <v>5</v>
      </c>
      <c r="C74" s="412" t="s">
        <v>90</v>
      </c>
      <c r="D74" s="413"/>
      <c r="E74" s="413"/>
      <c r="F74" s="413"/>
      <c r="G74" s="413"/>
      <c r="H74" s="414"/>
      <c r="I74" s="446">
        <f>J74/$J$27</f>
        <v>2.0000000000000001E-4</v>
      </c>
      <c r="J74" s="417">
        <f>ROUND(J72*$I$61,2)</f>
        <v>0.3</v>
      </c>
      <c r="K74" s="217" t="s">
        <v>197</v>
      </c>
      <c r="M74" s="1"/>
      <c r="N74" s="1"/>
      <c r="O74" s="1"/>
      <c r="P74" s="1"/>
      <c r="Q74" s="1"/>
      <c r="R74" s="1"/>
    </row>
    <row r="75" spans="2:18" x14ac:dyDescent="0.25">
      <c r="B75" s="411"/>
      <c r="C75" s="419" t="s">
        <v>197</v>
      </c>
      <c r="D75" s="420"/>
      <c r="E75" s="420"/>
      <c r="F75" s="420"/>
      <c r="G75" s="420"/>
      <c r="H75" s="421"/>
      <c r="I75" s="447"/>
      <c r="J75" s="418"/>
      <c r="L75" s="28"/>
      <c r="M75" s="1"/>
      <c r="N75" s="1"/>
      <c r="O75" s="1"/>
      <c r="P75" s="1"/>
      <c r="Q75" s="1"/>
      <c r="R75" s="1"/>
    </row>
    <row r="76" spans="2:18" x14ac:dyDescent="0.25">
      <c r="B76" s="229"/>
      <c r="C76" s="398" t="s">
        <v>75</v>
      </c>
      <c r="D76" s="398"/>
      <c r="E76" s="398"/>
      <c r="F76" s="398"/>
      <c r="G76" s="398"/>
      <c r="H76" s="398"/>
      <c r="I76" s="153">
        <f>+I72+I74</f>
        <v>8.9999999999999998E-4</v>
      </c>
      <c r="J76" s="141">
        <f>SUM(J72:J74)</f>
        <v>1.26</v>
      </c>
      <c r="M76" s="1"/>
      <c r="N76" s="1"/>
      <c r="O76" s="1"/>
      <c r="P76" s="1"/>
      <c r="Q76" s="1"/>
      <c r="R76" s="1"/>
    </row>
    <row r="77" spans="2:18" x14ac:dyDescent="0.25">
      <c r="B77" s="407" t="s">
        <v>91</v>
      </c>
      <c r="C77" s="407"/>
      <c r="D77" s="407"/>
      <c r="E77" s="407"/>
      <c r="F77" s="407"/>
      <c r="G77" s="407"/>
      <c r="H77" s="407"/>
      <c r="I77" s="407"/>
      <c r="J77" s="407"/>
      <c r="Q77" s="1"/>
      <c r="R77" s="1"/>
    </row>
    <row r="78" spans="2:18" x14ac:dyDescent="0.25">
      <c r="B78" s="229" t="s">
        <v>92</v>
      </c>
      <c r="C78" s="443" t="s">
        <v>93</v>
      </c>
      <c r="D78" s="444"/>
      <c r="E78" s="444"/>
      <c r="F78" s="444"/>
      <c r="G78" s="444"/>
      <c r="H78" s="445"/>
      <c r="I78" s="229" t="s">
        <v>50</v>
      </c>
      <c r="J78" s="138" t="s">
        <v>24</v>
      </c>
      <c r="Q78" s="1"/>
      <c r="R78" s="1"/>
    </row>
    <row r="79" spans="2:18" x14ac:dyDescent="0.25">
      <c r="B79" s="410" t="s">
        <v>3</v>
      </c>
      <c r="C79" s="426" t="s">
        <v>94</v>
      </c>
      <c r="D79" s="427"/>
      <c r="E79" s="427"/>
      <c r="F79" s="427"/>
      <c r="G79" s="427"/>
      <c r="H79" s="428"/>
      <c r="I79" s="415">
        <f>+J79/$J$27</f>
        <v>4.1999999999999997E-3</v>
      </c>
      <c r="J79" s="417">
        <f>ROUND((((J27/12)*(30/30))*5)/100,2)</f>
        <v>5.41</v>
      </c>
      <c r="K79" s="7" t="s">
        <v>95</v>
      </c>
      <c r="Q79" s="1"/>
      <c r="R79" s="1"/>
    </row>
    <row r="80" spans="2:18" x14ac:dyDescent="0.25">
      <c r="B80" s="411"/>
      <c r="C80" s="429" t="s">
        <v>140</v>
      </c>
      <c r="D80" s="430"/>
      <c r="E80" s="430"/>
      <c r="F80" s="430"/>
      <c r="G80" s="430"/>
      <c r="H80" s="431"/>
      <c r="I80" s="416"/>
      <c r="J80" s="418"/>
      <c r="K80" s="7"/>
      <c r="Q80" s="1"/>
      <c r="R80" s="1"/>
    </row>
    <row r="81" spans="2:18" ht="12.75" customHeight="1" x14ac:dyDescent="0.25">
      <c r="B81" s="410" t="s">
        <v>5</v>
      </c>
      <c r="C81" s="432" t="s">
        <v>96</v>
      </c>
      <c r="D81" s="433"/>
      <c r="E81" s="433"/>
      <c r="F81" s="433"/>
      <c r="G81" s="433"/>
      <c r="H81" s="434"/>
      <c r="I81" s="415">
        <f>+J81/$J$27</f>
        <v>2.9999999999999997E-4</v>
      </c>
      <c r="J81" s="417">
        <f>ROUND(J79*8%,2)</f>
        <v>0.43</v>
      </c>
      <c r="K81" s="217" t="s">
        <v>97</v>
      </c>
      <c r="Q81" s="1"/>
      <c r="R81" s="1"/>
    </row>
    <row r="82" spans="2:18" x14ac:dyDescent="0.25">
      <c r="B82" s="411"/>
      <c r="C82" s="432" t="s">
        <v>97</v>
      </c>
      <c r="D82" s="433"/>
      <c r="E82" s="433"/>
      <c r="F82" s="433"/>
      <c r="G82" s="433"/>
      <c r="H82" s="434"/>
      <c r="I82" s="416"/>
      <c r="J82" s="418"/>
      <c r="Q82" s="1"/>
      <c r="R82" s="1"/>
    </row>
    <row r="83" spans="2:18" ht="12.75" customHeight="1" x14ac:dyDescent="0.25">
      <c r="B83" s="410" t="s">
        <v>6</v>
      </c>
      <c r="C83" s="441" t="s">
        <v>98</v>
      </c>
      <c r="D83" s="441"/>
      <c r="E83" s="441"/>
      <c r="F83" s="441"/>
      <c r="G83" s="441"/>
      <c r="H83" s="441"/>
      <c r="I83" s="415">
        <f xml:space="preserve"> ((7 / 30) / 12)</f>
        <v>1.9400000000000001E-2</v>
      </c>
      <c r="J83" s="417">
        <f>ROUND(((J27/30)*7)/12,2)</f>
        <v>25.24</v>
      </c>
      <c r="K83" s="7" t="s">
        <v>99</v>
      </c>
      <c r="Q83" s="1"/>
      <c r="R83" s="1"/>
    </row>
    <row r="84" spans="2:18" ht="18.75" customHeight="1" x14ac:dyDescent="0.25">
      <c r="B84" s="411"/>
      <c r="C84" s="442" t="s">
        <v>100</v>
      </c>
      <c r="D84" s="442"/>
      <c r="E84" s="442"/>
      <c r="F84" s="442"/>
      <c r="G84" s="442"/>
      <c r="H84" s="442"/>
      <c r="I84" s="416"/>
      <c r="J84" s="418"/>
      <c r="K84" s="7"/>
      <c r="M84" s="28"/>
      <c r="N84" s="28"/>
      <c r="O84" s="28"/>
      <c r="Q84" s="1"/>
      <c r="R84" s="1"/>
    </row>
    <row r="85" spans="2:18" ht="12.75" customHeight="1" x14ac:dyDescent="0.25">
      <c r="B85" s="410" t="s">
        <v>8</v>
      </c>
      <c r="C85" s="432" t="s">
        <v>101</v>
      </c>
      <c r="D85" s="433"/>
      <c r="E85" s="433"/>
      <c r="F85" s="433"/>
      <c r="G85" s="433"/>
      <c r="H85" s="434"/>
      <c r="I85" s="415">
        <f>J85/$J$27</f>
        <v>6.0000000000000001E-3</v>
      </c>
      <c r="J85" s="417">
        <f>ROUND(J83*$I$61,2)</f>
        <v>7.82</v>
      </c>
      <c r="K85" s="217" t="s">
        <v>198</v>
      </c>
      <c r="O85" s="28"/>
      <c r="Q85" s="1"/>
      <c r="R85" s="1"/>
    </row>
    <row r="86" spans="2:18" x14ac:dyDescent="0.25">
      <c r="B86" s="411"/>
      <c r="C86" s="435" t="s">
        <v>198</v>
      </c>
      <c r="D86" s="436"/>
      <c r="E86" s="436"/>
      <c r="F86" s="436"/>
      <c r="G86" s="436"/>
      <c r="H86" s="437"/>
      <c r="I86" s="416"/>
      <c r="J86" s="418"/>
      <c r="Q86" s="1"/>
      <c r="R86" s="1"/>
    </row>
    <row r="87" spans="2:18" ht="17.25" customHeight="1" x14ac:dyDescent="0.25">
      <c r="B87" s="410" t="s">
        <v>10</v>
      </c>
      <c r="C87" s="412" t="s">
        <v>102</v>
      </c>
      <c r="D87" s="413"/>
      <c r="E87" s="413"/>
      <c r="F87" s="413"/>
      <c r="G87" s="413"/>
      <c r="H87" s="414"/>
      <c r="I87" s="415">
        <f>J87/$J$27</f>
        <v>0.05</v>
      </c>
      <c r="J87" s="417">
        <f>ROUND((($J$27)* 5%),2)</f>
        <v>64.89</v>
      </c>
      <c r="K87" s="217" t="s">
        <v>103</v>
      </c>
      <c r="Q87" s="1"/>
      <c r="R87" s="1"/>
    </row>
    <row r="88" spans="2:18" x14ac:dyDescent="0.25">
      <c r="B88" s="411"/>
      <c r="C88" s="438" t="s">
        <v>104</v>
      </c>
      <c r="D88" s="439"/>
      <c r="E88" s="439"/>
      <c r="F88" s="439"/>
      <c r="G88" s="439"/>
      <c r="H88" s="440"/>
      <c r="I88" s="416"/>
      <c r="J88" s="418"/>
      <c r="Q88" s="1"/>
      <c r="R88" s="1"/>
    </row>
    <row r="89" spans="2:18" x14ac:dyDescent="0.25">
      <c r="B89" s="229"/>
      <c r="C89" s="404" t="s">
        <v>75</v>
      </c>
      <c r="D89" s="405"/>
      <c r="E89" s="405"/>
      <c r="F89" s="405"/>
      <c r="G89" s="405"/>
      <c r="H89" s="406"/>
      <c r="I89" s="153">
        <f>SUM(G79:I87)</f>
        <v>7.9899999999999999E-2</v>
      </c>
      <c r="J89" s="141">
        <f>SUM(J79:J87)</f>
        <v>103.79</v>
      </c>
      <c r="K89" s="9"/>
      <c r="Q89" s="1"/>
      <c r="R89" s="1"/>
    </row>
    <row r="90" spans="2:18" x14ac:dyDescent="0.25">
      <c r="B90" s="407" t="s">
        <v>105</v>
      </c>
      <c r="C90" s="407"/>
      <c r="D90" s="407"/>
      <c r="E90" s="407"/>
      <c r="F90" s="407"/>
      <c r="G90" s="407"/>
      <c r="H90" s="407"/>
      <c r="I90" s="407"/>
      <c r="J90" s="407"/>
      <c r="K90" s="7"/>
      <c r="Q90" s="1"/>
      <c r="R90" s="1"/>
    </row>
    <row r="91" spans="2:18" ht="21" customHeight="1" x14ac:dyDescent="0.25">
      <c r="B91" s="229" t="s">
        <v>106</v>
      </c>
      <c r="C91" s="400" t="s">
        <v>107</v>
      </c>
      <c r="D91" s="401"/>
      <c r="E91" s="401"/>
      <c r="F91" s="401"/>
      <c r="G91" s="401"/>
      <c r="H91" s="402"/>
      <c r="I91" s="229" t="s">
        <v>50</v>
      </c>
      <c r="J91" s="138" t="s">
        <v>24</v>
      </c>
      <c r="K91" s="5"/>
      <c r="Q91" s="1"/>
      <c r="R91" s="1"/>
    </row>
    <row r="92" spans="2:18" x14ac:dyDescent="0.25">
      <c r="B92" s="410" t="s">
        <v>3</v>
      </c>
      <c r="C92" s="422" t="s">
        <v>108</v>
      </c>
      <c r="D92" s="423"/>
      <c r="E92" s="423"/>
      <c r="F92" s="423"/>
      <c r="G92" s="423"/>
      <c r="H92" s="424"/>
      <c r="I92" s="415">
        <v>0.121</v>
      </c>
      <c r="J92" s="417">
        <f>ROUND(($J$27*I92),2)</f>
        <v>157.04</v>
      </c>
      <c r="K92" s="425" t="s">
        <v>109</v>
      </c>
      <c r="L92" s="425"/>
      <c r="M92" s="425"/>
      <c r="N92" s="425"/>
      <c r="O92" s="425"/>
      <c r="P92" s="425"/>
      <c r="Q92" s="1"/>
      <c r="R92" s="1"/>
    </row>
    <row r="93" spans="2:18" x14ac:dyDescent="0.25">
      <c r="B93" s="411"/>
      <c r="C93" s="422" t="s">
        <v>109</v>
      </c>
      <c r="D93" s="423"/>
      <c r="E93" s="423"/>
      <c r="F93" s="423"/>
      <c r="G93" s="423"/>
      <c r="H93" s="424"/>
      <c r="I93" s="416"/>
      <c r="J93" s="418"/>
      <c r="L93" s="217"/>
      <c r="M93" s="217"/>
      <c r="N93" s="217"/>
      <c r="O93" s="217"/>
      <c r="P93" s="29"/>
      <c r="Q93" s="30"/>
      <c r="R93" s="1"/>
    </row>
    <row r="94" spans="2:18" x14ac:dyDescent="0.25">
      <c r="B94" s="410" t="s">
        <v>5</v>
      </c>
      <c r="C94" s="426" t="s">
        <v>110</v>
      </c>
      <c r="D94" s="427"/>
      <c r="E94" s="427"/>
      <c r="F94" s="427"/>
      <c r="G94" s="427"/>
      <c r="H94" s="428"/>
      <c r="I94" s="415">
        <f>+J94/$J$27</f>
        <v>1.3899999999999999E-2</v>
      </c>
      <c r="J94" s="417">
        <f>ROUND( (($J$27 / 30) * 5) /12,2)</f>
        <v>18.03</v>
      </c>
      <c r="K94" s="425" t="s">
        <v>111</v>
      </c>
      <c r="L94" s="425"/>
      <c r="M94" s="425"/>
      <c r="N94" s="425"/>
      <c r="O94" s="425"/>
      <c r="P94" s="425"/>
      <c r="Q94" s="31"/>
      <c r="R94" s="1"/>
    </row>
    <row r="95" spans="2:18" x14ac:dyDescent="0.25">
      <c r="B95" s="411"/>
      <c r="C95" s="429" t="s">
        <v>111</v>
      </c>
      <c r="D95" s="430"/>
      <c r="E95" s="430"/>
      <c r="F95" s="430"/>
      <c r="G95" s="430"/>
      <c r="H95" s="431"/>
      <c r="I95" s="416"/>
      <c r="J95" s="418"/>
      <c r="L95" s="217"/>
      <c r="M95" s="217"/>
      <c r="N95" s="217"/>
      <c r="O95" s="217"/>
      <c r="P95" s="217"/>
      <c r="Q95" s="1"/>
      <c r="R95" s="1"/>
    </row>
    <row r="96" spans="2:18" x14ac:dyDescent="0.25">
      <c r="B96" s="410" t="s">
        <v>6</v>
      </c>
      <c r="C96" s="422" t="s">
        <v>112</v>
      </c>
      <c r="D96" s="423"/>
      <c r="E96" s="423"/>
      <c r="F96" s="423"/>
      <c r="G96" s="423"/>
      <c r="H96" s="424"/>
      <c r="I96" s="415">
        <f>+J96/$J$27</f>
        <v>2.0000000000000001E-4</v>
      </c>
      <c r="J96" s="417">
        <f>ROUND( ((($J$27 / 30) * 5) /12) * 1.5%,2)</f>
        <v>0.27</v>
      </c>
      <c r="K96" s="425" t="s">
        <v>113</v>
      </c>
      <c r="L96" s="425"/>
      <c r="M96" s="425"/>
      <c r="N96" s="425"/>
      <c r="O96" s="425"/>
      <c r="P96" s="425"/>
      <c r="Q96" s="1"/>
      <c r="R96" s="1"/>
    </row>
    <row r="97" spans="2:18" x14ac:dyDescent="0.25">
      <c r="B97" s="411"/>
      <c r="C97" s="422" t="s">
        <v>113</v>
      </c>
      <c r="D97" s="423"/>
      <c r="E97" s="423"/>
      <c r="F97" s="423"/>
      <c r="G97" s="423"/>
      <c r="H97" s="424"/>
      <c r="I97" s="416"/>
      <c r="J97" s="418"/>
      <c r="L97" s="217"/>
      <c r="M97" s="217"/>
      <c r="N97" s="217"/>
      <c r="O97" s="217"/>
      <c r="P97" s="217"/>
      <c r="Q97" s="1"/>
      <c r="R97" s="1"/>
    </row>
    <row r="98" spans="2:18" x14ac:dyDescent="0.25">
      <c r="B98" s="410" t="s">
        <v>8</v>
      </c>
      <c r="C98" s="426" t="s">
        <v>114</v>
      </c>
      <c r="D98" s="427"/>
      <c r="E98" s="427"/>
      <c r="F98" s="427"/>
      <c r="G98" s="427"/>
      <c r="H98" s="428"/>
      <c r="I98" s="415">
        <f>+J98/$J$27</f>
        <v>8.2000000000000007E-3</v>
      </c>
      <c r="J98" s="417">
        <f>ROUND((($J$27 / 30) * 2.96) /12,2)</f>
        <v>10.67</v>
      </c>
      <c r="K98" s="425" t="s">
        <v>115</v>
      </c>
      <c r="L98" s="425"/>
      <c r="M98" s="425"/>
      <c r="N98" s="425"/>
      <c r="O98" s="425"/>
      <c r="P98" s="425"/>
      <c r="Q98" s="1"/>
      <c r="R98" s="1"/>
    </row>
    <row r="99" spans="2:18" x14ac:dyDescent="0.25">
      <c r="B99" s="411"/>
      <c r="C99" s="429" t="s">
        <v>115</v>
      </c>
      <c r="D99" s="430"/>
      <c r="E99" s="430"/>
      <c r="F99" s="430"/>
      <c r="G99" s="430"/>
      <c r="H99" s="431"/>
      <c r="I99" s="416"/>
      <c r="J99" s="418"/>
      <c r="L99" s="217"/>
      <c r="M99" s="217"/>
      <c r="N99" s="217"/>
      <c r="O99" s="217"/>
      <c r="P99" s="217"/>
      <c r="Q99" s="1"/>
      <c r="R99" s="1"/>
    </row>
    <row r="100" spans="2:18" x14ac:dyDescent="0.25">
      <c r="B100" s="410" t="s">
        <v>10</v>
      </c>
      <c r="C100" s="422" t="s">
        <v>116</v>
      </c>
      <c r="D100" s="423"/>
      <c r="E100" s="423"/>
      <c r="F100" s="423"/>
      <c r="G100" s="423"/>
      <c r="H100" s="424"/>
      <c r="I100" s="415">
        <f>+J100/$J$27</f>
        <v>2.9999999999999997E-4</v>
      </c>
      <c r="J100" s="417">
        <f>ROUND(((($J$27 / 30) *15) /12) * 0.78%,2)</f>
        <v>0.42</v>
      </c>
      <c r="K100" s="425" t="s">
        <v>117</v>
      </c>
      <c r="L100" s="425"/>
      <c r="M100" s="425"/>
      <c r="N100" s="425"/>
      <c r="O100" s="425"/>
      <c r="P100" s="425"/>
      <c r="Q100" s="1"/>
      <c r="R100" s="1"/>
    </row>
    <row r="101" spans="2:18" x14ac:dyDescent="0.25">
      <c r="B101" s="411"/>
      <c r="C101" s="422" t="s">
        <v>117</v>
      </c>
      <c r="D101" s="423"/>
      <c r="E101" s="423"/>
      <c r="F101" s="423"/>
      <c r="G101" s="423"/>
      <c r="H101" s="424"/>
      <c r="I101" s="416"/>
      <c r="J101" s="418"/>
      <c r="L101" s="217"/>
      <c r="M101" s="217"/>
      <c r="N101" s="217"/>
      <c r="O101" s="217"/>
      <c r="P101" s="217"/>
      <c r="Q101" s="1"/>
      <c r="R101" s="1"/>
    </row>
    <row r="102" spans="2:18" x14ac:dyDescent="0.25">
      <c r="B102" s="156"/>
      <c r="C102" s="409" t="s">
        <v>81</v>
      </c>
      <c r="D102" s="409"/>
      <c r="E102" s="409"/>
      <c r="F102" s="409"/>
      <c r="G102" s="409"/>
      <c r="H102" s="409"/>
      <c r="I102" s="157">
        <f>SUM(I92:I101)</f>
        <v>0.14360000000000001</v>
      </c>
      <c r="J102" s="155">
        <f>SUM(J92:J101)</f>
        <v>186.43</v>
      </c>
      <c r="K102" s="10"/>
      <c r="Q102" s="1"/>
      <c r="R102" s="1"/>
    </row>
    <row r="103" spans="2:18" ht="12.75" customHeight="1" x14ac:dyDescent="0.25">
      <c r="B103" s="410" t="s">
        <v>26</v>
      </c>
      <c r="C103" s="412" t="s">
        <v>118</v>
      </c>
      <c r="D103" s="413"/>
      <c r="E103" s="413"/>
      <c r="F103" s="413"/>
      <c r="G103" s="413"/>
      <c r="H103" s="414"/>
      <c r="I103" s="415">
        <f>J103/$J$27</f>
        <v>4.4499999999999998E-2</v>
      </c>
      <c r="J103" s="417">
        <f>ROUND(J102*$I$61,2)</f>
        <v>57.79</v>
      </c>
      <c r="K103" s="217" t="s">
        <v>199</v>
      </c>
      <c r="Q103" s="1"/>
      <c r="R103" s="1"/>
    </row>
    <row r="104" spans="2:18" x14ac:dyDescent="0.25">
      <c r="B104" s="411"/>
      <c r="C104" s="419" t="s">
        <v>199</v>
      </c>
      <c r="D104" s="420"/>
      <c r="E104" s="420"/>
      <c r="F104" s="420"/>
      <c r="G104" s="420"/>
      <c r="H104" s="421"/>
      <c r="I104" s="416"/>
      <c r="J104" s="418"/>
      <c r="Q104" s="1"/>
      <c r="R104" s="1"/>
    </row>
    <row r="105" spans="2:18" x14ac:dyDescent="0.25">
      <c r="B105" s="229"/>
      <c r="C105" s="404" t="s">
        <v>75</v>
      </c>
      <c r="D105" s="405"/>
      <c r="E105" s="405"/>
      <c r="F105" s="405"/>
      <c r="G105" s="405"/>
      <c r="H105" s="406"/>
      <c r="I105" s="158">
        <f>SUM(I102:I104)</f>
        <v>0.18809999999999999</v>
      </c>
      <c r="J105" s="141">
        <f>SUM(J102:J103)</f>
        <v>244.22</v>
      </c>
      <c r="Q105" s="1"/>
      <c r="R105" s="1"/>
    </row>
    <row r="106" spans="2:18" x14ac:dyDescent="0.25">
      <c r="B106" s="407" t="s">
        <v>119</v>
      </c>
      <c r="C106" s="407"/>
      <c r="D106" s="407"/>
      <c r="E106" s="407"/>
      <c r="F106" s="407"/>
      <c r="G106" s="407"/>
      <c r="H106" s="407"/>
      <c r="I106" s="407"/>
      <c r="J106" s="407"/>
      <c r="L106" s="11"/>
      <c r="Q106" s="1"/>
      <c r="R106" s="1"/>
    </row>
    <row r="107" spans="2:18" ht="21" customHeight="1" x14ac:dyDescent="0.25">
      <c r="B107" s="229">
        <v>4</v>
      </c>
      <c r="C107" s="408" t="s">
        <v>120</v>
      </c>
      <c r="D107" s="408"/>
      <c r="E107" s="408"/>
      <c r="F107" s="408"/>
      <c r="G107" s="408"/>
      <c r="H107" s="408"/>
      <c r="I107" s="215" t="s">
        <v>50</v>
      </c>
      <c r="J107" s="138" t="s">
        <v>24</v>
      </c>
      <c r="K107" s="12"/>
      <c r="L107" s="13"/>
      <c r="Q107" s="1"/>
      <c r="R107" s="1"/>
    </row>
    <row r="108" spans="2:18" ht="19.5" customHeight="1" x14ac:dyDescent="0.25">
      <c r="B108" s="137" t="s">
        <v>48</v>
      </c>
      <c r="C108" s="403" t="s">
        <v>49</v>
      </c>
      <c r="D108" s="403"/>
      <c r="E108" s="403"/>
      <c r="F108" s="403"/>
      <c r="G108" s="403"/>
      <c r="H108" s="403"/>
      <c r="I108" s="159">
        <f>+I61</f>
        <v>0.31</v>
      </c>
      <c r="J108" s="140">
        <f>+J61</f>
        <v>402.34</v>
      </c>
      <c r="K108" s="12"/>
      <c r="L108" s="13"/>
      <c r="Q108" s="1"/>
      <c r="R108" s="1"/>
    </row>
    <row r="109" spans="2:18" ht="19.5" customHeight="1" x14ac:dyDescent="0.25">
      <c r="B109" s="137" t="s">
        <v>77</v>
      </c>
      <c r="C109" s="403" t="s">
        <v>121</v>
      </c>
      <c r="D109" s="403"/>
      <c r="E109" s="403"/>
      <c r="F109" s="403"/>
      <c r="G109" s="403"/>
      <c r="H109" s="403"/>
      <c r="I109" s="159">
        <f>+I69</f>
        <v>0.1111</v>
      </c>
      <c r="J109" s="140">
        <f>+J69</f>
        <v>141.69</v>
      </c>
      <c r="K109" s="12"/>
      <c r="L109" s="13"/>
      <c r="M109" s="1"/>
      <c r="N109" s="1"/>
      <c r="O109" s="1"/>
      <c r="P109" s="1"/>
      <c r="Q109" s="1"/>
      <c r="R109" s="1"/>
    </row>
    <row r="110" spans="2:18" ht="21" customHeight="1" x14ac:dyDescent="0.25">
      <c r="B110" s="137" t="s">
        <v>86</v>
      </c>
      <c r="C110" s="403" t="s">
        <v>88</v>
      </c>
      <c r="D110" s="403"/>
      <c r="E110" s="403"/>
      <c r="F110" s="403"/>
      <c r="G110" s="403"/>
      <c r="H110" s="403"/>
      <c r="I110" s="159">
        <f>+I76</f>
        <v>8.9999999999999998E-4</v>
      </c>
      <c r="J110" s="140">
        <f>+J76</f>
        <v>1.26</v>
      </c>
      <c r="K110" s="14"/>
      <c r="L110" s="13"/>
      <c r="M110" s="1"/>
      <c r="N110" s="1"/>
      <c r="O110" s="1"/>
      <c r="P110" s="1"/>
      <c r="Q110" s="1"/>
      <c r="R110" s="1"/>
    </row>
    <row r="111" spans="2:18" ht="21" customHeight="1" x14ac:dyDescent="0.25">
      <c r="B111" s="137" t="s">
        <v>92</v>
      </c>
      <c r="C111" s="403" t="s">
        <v>93</v>
      </c>
      <c r="D111" s="403"/>
      <c r="E111" s="403"/>
      <c r="F111" s="403"/>
      <c r="G111" s="403"/>
      <c r="H111" s="403"/>
      <c r="I111" s="159">
        <f>+I89</f>
        <v>7.9899999999999999E-2</v>
      </c>
      <c r="J111" s="140">
        <f>+J89</f>
        <v>103.79</v>
      </c>
      <c r="K111" s="12"/>
      <c r="M111" s="1"/>
      <c r="N111" s="1"/>
      <c r="O111" s="1"/>
      <c r="P111" s="1"/>
      <c r="Q111" s="1"/>
      <c r="R111" s="1"/>
    </row>
    <row r="112" spans="2:18" ht="21" customHeight="1" x14ac:dyDescent="0.25">
      <c r="B112" s="137" t="s">
        <v>106</v>
      </c>
      <c r="C112" s="403" t="s">
        <v>107</v>
      </c>
      <c r="D112" s="403"/>
      <c r="E112" s="403"/>
      <c r="F112" s="403"/>
      <c r="G112" s="403"/>
      <c r="H112" s="403"/>
      <c r="I112" s="159">
        <f>+I105</f>
        <v>0.18809999999999999</v>
      </c>
      <c r="J112" s="140">
        <f>+J105</f>
        <v>244.22</v>
      </c>
      <c r="K112" s="12"/>
      <c r="L112" s="13"/>
      <c r="M112" s="1"/>
      <c r="N112" s="1"/>
      <c r="O112" s="1"/>
      <c r="P112" s="1"/>
      <c r="Q112" s="1"/>
      <c r="R112" s="1"/>
    </row>
    <row r="113" spans="2:18" x14ac:dyDescent="0.25">
      <c r="B113" s="229"/>
      <c r="C113" s="398" t="s">
        <v>75</v>
      </c>
      <c r="D113" s="398"/>
      <c r="E113" s="398"/>
      <c r="F113" s="398"/>
      <c r="G113" s="398"/>
      <c r="H113" s="398"/>
      <c r="I113" s="160">
        <f>SUM(I108:I112)</f>
        <v>0.69</v>
      </c>
      <c r="J113" s="141">
        <f>SUM(J108:J112)</f>
        <v>893.3</v>
      </c>
      <c r="L113" s="33"/>
      <c r="M113" s="1"/>
      <c r="N113" s="1"/>
      <c r="O113" s="1"/>
      <c r="P113" s="1"/>
      <c r="Q113" s="1"/>
      <c r="R113" s="1"/>
    </row>
    <row r="114" spans="2:18" x14ac:dyDescent="0.25">
      <c r="B114" s="399" t="s">
        <v>122</v>
      </c>
      <c r="C114" s="399"/>
      <c r="D114" s="399"/>
      <c r="E114" s="399"/>
      <c r="F114" s="399"/>
      <c r="G114" s="399"/>
      <c r="H114" s="399"/>
      <c r="I114" s="399"/>
      <c r="J114" s="399"/>
      <c r="L114" s="33"/>
      <c r="M114" s="1"/>
      <c r="N114" s="1"/>
      <c r="O114" s="1"/>
      <c r="P114" s="1"/>
      <c r="Q114" s="1"/>
      <c r="R114" s="1"/>
    </row>
    <row r="115" spans="2:18" x14ac:dyDescent="0.25">
      <c r="B115" s="229">
        <v>5</v>
      </c>
      <c r="C115" s="398" t="s">
        <v>123</v>
      </c>
      <c r="D115" s="398"/>
      <c r="E115" s="398"/>
      <c r="F115" s="398"/>
      <c r="G115" s="398"/>
      <c r="H115" s="398"/>
      <c r="I115" s="215" t="s">
        <v>50</v>
      </c>
      <c r="J115" s="138" t="s">
        <v>24</v>
      </c>
      <c r="K115" s="15" t="s">
        <v>124</v>
      </c>
      <c r="L115" s="33"/>
      <c r="M115" s="30"/>
      <c r="N115" s="1"/>
      <c r="O115" s="1"/>
      <c r="P115" s="1"/>
      <c r="Q115" s="1"/>
      <c r="R115" s="1"/>
    </row>
    <row r="116" spans="2:18" x14ac:dyDescent="0.25">
      <c r="B116" s="137" t="s">
        <v>3</v>
      </c>
      <c r="C116" s="403" t="s">
        <v>125</v>
      </c>
      <c r="D116" s="403"/>
      <c r="E116" s="403"/>
      <c r="F116" s="403"/>
      <c r="G116" s="403"/>
      <c r="H116" s="403"/>
      <c r="I116" s="161">
        <v>7.0000000000000007E-2</v>
      </c>
      <c r="J116" s="140">
        <f>ROUND((J27+J38+J46+J113)*I116,2)</f>
        <v>207.43</v>
      </c>
      <c r="K116" s="16">
        <f>(J27+J38+J46+J113)</f>
        <v>2963.33</v>
      </c>
      <c r="L116" s="34"/>
      <c r="M116" s="30"/>
      <c r="N116" s="1"/>
      <c r="O116" s="1"/>
      <c r="P116" s="1"/>
      <c r="Q116" s="1"/>
      <c r="R116" s="1"/>
    </row>
    <row r="117" spans="2:18" x14ac:dyDescent="0.25">
      <c r="B117" s="137" t="s">
        <v>5</v>
      </c>
      <c r="C117" s="396" t="s">
        <v>126</v>
      </c>
      <c r="D117" s="396"/>
      <c r="E117" s="396"/>
      <c r="F117" s="396"/>
      <c r="G117" s="396"/>
      <c r="H117" s="396"/>
      <c r="I117" s="159"/>
      <c r="J117" s="140"/>
      <c r="K117" s="17"/>
      <c r="L117" s="33"/>
      <c r="M117" s="1"/>
      <c r="N117" s="1"/>
      <c r="O117" s="1"/>
      <c r="P117" s="1"/>
      <c r="Q117" s="1"/>
      <c r="R117" s="1"/>
    </row>
    <row r="118" spans="2:18" x14ac:dyDescent="0.25">
      <c r="B118" s="137"/>
      <c r="C118" s="396" t="s">
        <v>357</v>
      </c>
      <c r="D118" s="396"/>
      <c r="E118" s="396"/>
      <c r="F118" s="396"/>
      <c r="G118" s="396"/>
      <c r="H118" s="396"/>
      <c r="I118" s="162">
        <f>IF($J$11="simples",0.4%,IF($J$11="lucro presumido",0.65%,1.65%))</f>
        <v>4.0000000000000001E-3</v>
      </c>
      <c r="J118" s="140">
        <f>ROUND($K$119*I118,2)</f>
        <v>14.56</v>
      </c>
      <c r="K118" s="15" t="s">
        <v>127</v>
      </c>
      <c r="L118" s="33"/>
      <c r="M118" s="30"/>
      <c r="N118" s="1"/>
      <c r="O118" s="1"/>
      <c r="P118" s="1"/>
      <c r="Q118" s="1"/>
      <c r="R118" s="1"/>
    </row>
    <row r="119" spans="2:18" x14ac:dyDescent="0.25">
      <c r="B119" s="137"/>
      <c r="C119" s="396" t="s">
        <v>358</v>
      </c>
      <c r="D119" s="396"/>
      <c r="E119" s="396"/>
      <c r="F119" s="396"/>
      <c r="G119" s="396"/>
      <c r="H119" s="396"/>
      <c r="I119" s="162">
        <f>IF($J$11="simples",2.27%,IF($J$11="lucro presumido",3%,7.6%))</f>
        <v>2.2700000000000001E-2</v>
      </c>
      <c r="J119" s="140">
        <f>ROUND($K$119*I119,2)</f>
        <v>82.63</v>
      </c>
      <c r="K119" s="16">
        <f>ROUND(((K116+J116+J122)/(1-I121)),2)</f>
        <v>3640.21</v>
      </c>
      <c r="L119" s="34"/>
      <c r="M119" s="19"/>
      <c r="N119" s="1"/>
      <c r="O119" s="1"/>
      <c r="P119" s="1"/>
      <c r="Q119" s="1"/>
      <c r="R119" s="1"/>
    </row>
    <row r="120" spans="2:18" x14ac:dyDescent="0.25">
      <c r="B120" s="137"/>
      <c r="C120" s="396" t="s">
        <v>359</v>
      </c>
      <c r="D120" s="396"/>
      <c r="E120" s="396"/>
      <c r="F120" s="396"/>
      <c r="G120" s="396"/>
      <c r="H120" s="396"/>
      <c r="I120" s="162">
        <f>IF($J$11="simples",5%,IF($J$11="lucro presumido",5%,2.5%))</f>
        <v>0.05</v>
      </c>
      <c r="J120" s="140">
        <f>ROUND($K$119*I120,2)</f>
        <v>182.01</v>
      </c>
      <c r="K120" s="18"/>
      <c r="L120" s="33"/>
      <c r="M120" s="30"/>
      <c r="N120" s="32"/>
      <c r="O120" s="1"/>
      <c r="P120" s="1"/>
      <c r="Q120" s="1"/>
      <c r="R120" s="1"/>
    </row>
    <row r="121" spans="2:18" x14ac:dyDescent="0.25">
      <c r="B121" s="229"/>
      <c r="C121" s="398" t="s">
        <v>128</v>
      </c>
      <c r="D121" s="398"/>
      <c r="E121" s="398"/>
      <c r="F121" s="398"/>
      <c r="G121" s="398"/>
      <c r="H121" s="398"/>
      <c r="I121" s="160">
        <f>SUM(I118:I120)</f>
        <v>7.6700000000000004E-2</v>
      </c>
      <c r="J121" s="141">
        <f>SUM(J118:J120)</f>
        <v>279.2</v>
      </c>
      <c r="K121" s="15" t="s">
        <v>129</v>
      </c>
      <c r="L121" s="33"/>
      <c r="M121" s="1"/>
      <c r="N121" s="30"/>
      <c r="O121" s="1"/>
      <c r="P121" s="1"/>
      <c r="Q121" s="1"/>
      <c r="R121" s="1"/>
    </row>
    <row r="122" spans="2:18" x14ac:dyDescent="0.25">
      <c r="B122" s="137" t="s">
        <v>6</v>
      </c>
      <c r="C122" s="396" t="s">
        <v>130</v>
      </c>
      <c r="D122" s="396"/>
      <c r="E122" s="396"/>
      <c r="F122" s="396"/>
      <c r="G122" s="396"/>
      <c r="H122" s="396"/>
      <c r="I122" s="161">
        <v>0.06</v>
      </c>
      <c r="J122" s="140">
        <f>ROUND(K122*I122,2)</f>
        <v>190.25</v>
      </c>
      <c r="K122" s="16">
        <f>(+K116+J116)</f>
        <v>3170.76</v>
      </c>
      <c r="L122" s="34"/>
      <c r="M122" s="30"/>
      <c r="N122" s="1"/>
      <c r="O122" s="1"/>
      <c r="P122" s="1"/>
      <c r="Q122" s="1"/>
      <c r="R122" s="1"/>
    </row>
    <row r="123" spans="2:18" x14ac:dyDescent="0.25">
      <c r="B123" s="229"/>
      <c r="C123" s="398" t="s">
        <v>75</v>
      </c>
      <c r="D123" s="398"/>
      <c r="E123" s="398"/>
      <c r="F123" s="398"/>
      <c r="G123" s="398"/>
      <c r="H123" s="398"/>
      <c r="I123" s="160">
        <f>+I116+I121+I122</f>
        <v>0.20669999999999999</v>
      </c>
      <c r="J123" s="141">
        <f>ROUND(J116+J121+J122,2)</f>
        <v>676.88</v>
      </c>
      <c r="L123" s="33"/>
      <c r="M123" s="30"/>
      <c r="N123" s="1"/>
      <c r="O123" s="1"/>
      <c r="P123" s="1"/>
      <c r="Q123" s="1"/>
      <c r="R123" s="1"/>
    </row>
    <row r="124" spans="2:18" x14ac:dyDescent="0.25">
      <c r="B124" s="399" t="s">
        <v>131</v>
      </c>
      <c r="C124" s="399"/>
      <c r="D124" s="399"/>
      <c r="E124" s="399"/>
      <c r="F124" s="399"/>
      <c r="G124" s="399"/>
      <c r="H124" s="399"/>
      <c r="I124" s="399"/>
      <c r="J124" s="399"/>
      <c r="L124" s="33"/>
      <c r="M124" s="1"/>
      <c r="N124" s="1"/>
      <c r="O124" s="1"/>
      <c r="P124" s="1"/>
      <c r="Q124" s="1"/>
      <c r="R124" s="1"/>
    </row>
    <row r="125" spans="2:18" ht="36.75" customHeight="1" x14ac:dyDescent="0.25">
      <c r="B125" s="229"/>
      <c r="C125" s="400" t="s">
        <v>132</v>
      </c>
      <c r="D125" s="401"/>
      <c r="E125" s="401"/>
      <c r="F125" s="401"/>
      <c r="G125" s="401"/>
      <c r="H125" s="401"/>
      <c r="I125" s="402"/>
      <c r="J125" s="138" t="s">
        <v>24</v>
      </c>
      <c r="M125" s="1"/>
      <c r="N125" s="1"/>
      <c r="O125" s="1"/>
      <c r="P125" s="1"/>
      <c r="Q125" s="1"/>
      <c r="R125" s="1"/>
    </row>
    <row r="126" spans="2:18" ht="19.5" customHeight="1" x14ac:dyDescent="0.25">
      <c r="B126" s="137" t="s">
        <v>3</v>
      </c>
      <c r="C126" s="403" t="s">
        <v>22</v>
      </c>
      <c r="D126" s="403"/>
      <c r="E126" s="403"/>
      <c r="F126" s="403"/>
      <c r="G126" s="403"/>
      <c r="H126" s="403"/>
      <c r="I126" s="403"/>
      <c r="J126" s="163">
        <f>+J27</f>
        <v>1297.8699999999999</v>
      </c>
      <c r="M126" s="1"/>
      <c r="N126" s="1"/>
      <c r="O126" s="1"/>
      <c r="P126" s="1"/>
      <c r="Q126" s="1"/>
      <c r="R126" s="1"/>
    </row>
    <row r="127" spans="2:18" x14ac:dyDescent="0.25">
      <c r="B127" s="137" t="s">
        <v>5</v>
      </c>
      <c r="C127" s="396" t="s">
        <v>30</v>
      </c>
      <c r="D127" s="396"/>
      <c r="E127" s="396"/>
      <c r="F127" s="396"/>
      <c r="G127" s="396"/>
      <c r="H127" s="396"/>
      <c r="I127" s="396"/>
      <c r="J127" s="163">
        <f>+J38</f>
        <v>464.9</v>
      </c>
      <c r="M127" s="1"/>
      <c r="N127" s="1"/>
      <c r="O127" s="1"/>
      <c r="P127" s="1"/>
      <c r="Q127" s="1"/>
      <c r="R127" s="1"/>
    </row>
    <row r="128" spans="2:18" x14ac:dyDescent="0.25">
      <c r="B128" s="137" t="s">
        <v>6</v>
      </c>
      <c r="C128" s="396" t="s">
        <v>41</v>
      </c>
      <c r="D128" s="396"/>
      <c r="E128" s="396"/>
      <c r="F128" s="396"/>
      <c r="G128" s="396"/>
      <c r="H128" s="396"/>
      <c r="I128" s="396"/>
      <c r="J128" s="163">
        <f>+J46</f>
        <v>307.26</v>
      </c>
      <c r="M128" s="1"/>
      <c r="N128" s="1"/>
      <c r="O128" s="1"/>
      <c r="P128" s="1"/>
      <c r="Q128" s="1"/>
      <c r="R128" s="1"/>
    </row>
    <row r="129" spans="2:18" x14ac:dyDescent="0.25">
      <c r="B129" s="137" t="s">
        <v>8</v>
      </c>
      <c r="C129" s="396" t="s">
        <v>46</v>
      </c>
      <c r="D129" s="396"/>
      <c r="E129" s="396"/>
      <c r="F129" s="396"/>
      <c r="G129" s="396"/>
      <c r="H129" s="396"/>
      <c r="I129" s="396"/>
      <c r="J129" s="163">
        <f>+J113</f>
        <v>893.3</v>
      </c>
      <c r="M129" s="1"/>
      <c r="N129" s="1"/>
      <c r="O129" s="1"/>
      <c r="P129" s="1"/>
      <c r="Q129" s="1"/>
      <c r="R129" s="1"/>
    </row>
    <row r="130" spans="2:18" x14ac:dyDescent="0.25">
      <c r="B130" s="137"/>
      <c r="C130" s="397" t="s">
        <v>133</v>
      </c>
      <c r="D130" s="397"/>
      <c r="E130" s="397"/>
      <c r="F130" s="397"/>
      <c r="G130" s="397"/>
      <c r="H130" s="397"/>
      <c r="I130" s="397"/>
      <c r="J130" s="164">
        <f>SUM(J126:J129)</f>
        <v>2963.33</v>
      </c>
      <c r="M130" s="1"/>
      <c r="N130" s="1"/>
      <c r="O130" s="1"/>
      <c r="P130" s="1"/>
      <c r="Q130" s="1"/>
      <c r="R130" s="1"/>
    </row>
    <row r="131" spans="2:18" x14ac:dyDescent="0.25">
      <c r="B131" s="137" t="s">
        <v>10</v>
      </c>
      <c r="C131" s="396" t="s">
        <v>122</v>
      </c>
      <c r="D131" s="396"/>
      <c r="E131" s="396"/>
      <c r="F131" s="396"/>
      <c r="G131" s="396"/>
      <c r="H131" s="396"/>
      <c r="I131" s="396"/>
      <c r="J131" s="163">
        <f>+J123</f>
        <v>676.88</v>
      </c>
      <c r="M131" s="1"/>
      <c r="N131" s="1"/>
      <c r="O131" s="1"/>
      <c r="P131" s="1"/>
      <c r="Q131" s="1"/>
      <c r="R131" s="1"/>
    </row>
    <row r="132" spans="2:18" x14ac:dyDescent="0.25">
      <c r="B132" s="229"/>
      <c r="C132" s="398" t="s">
        <v>134</v>
      </c>
      <c r="D132" s="398"/>
      <c r="E132" s="398"/>
      <c r="F132" s="398"/>
      <c r="G132" s="398"/>
      <c r="H132" s="398"/>
      <c r="I132" s="398"/>
      <c r="J132" s="165">
        <f>SUM(J130:J131)</f>
        <v>3640.21</v>
      </c>
      <c r="M132" s="1"/>
      <c r="N132" s="1"/>
      <c r="O132" s="1"/>
      <c r="P132" s="1"/>
      <c r="Q132" s="1"/>
      <c r="R132" s="1"/>
    </row>
    <row r="133" spans="2:18" x14ac:dyDescent="0.25">
      <c r="K133" s="217" t="e">
        <f ca="1">[1]!VExtensoFree(J133)</f>
        <v>#NAME?</v>
      </c>
    </row>
    <row r="140" spans="2:18" x14ac:dyDescent="0.25">
      <c r="B140" s="167"/>
      <c r="F140" s="167"/>
      <c r="G140" s="167"/>
      <c r="H140" s="167"/>
      <c r="I140" s="167"/>
      <c r="J140" s="167"/>
      <c r="K140" s="1"/>
      <c r="L140" s="1"/>
      <c r="M140" s="1"/>
      <c r="N140" s="1"/>
      <c r="O140" s="1"/>
      <c r="P140" s="1"/>
      <c r="Q140" s="1"/>
      <c r="R140" s="1"/>
    </row>
    <row r="141" spans="2:18" x14ac:dyDescent="0.25">
      <c r="B141" s="167"/>
      <c r="F141" s="167"/>
      <c r="G141" s="167"/>
      <c r="H141" s="167"/>
      <c r="I141" s="167"/>
      <c r="J141" s="167"/>
      <c r="K141" s="1"/>
      <c r="L141" s="1"/>
      <c r="M141" s="1"/>
      <c r="N141" s="1"/>
      <c r="O141" s="1"/>
      <c r="P141" s="1"/>
      <c r="Q141" s="1"/>
      <c r="R141" s="1"/>
    </row>
    <row r="142" spans="2:18" x14ac:dyDescent="0.25">
      <c r="B142" s="167"/>
      <c r="F142" s="167"/>
      <c r="G142" s="167"/>
      <c r="H142" s="167"/>
      <c r="I142" s="167"/>
      <c r="J142" s="167"/>
      <c r="K142" s="1"/>
      <c r="L142" s="1"/>
      <c r="M142" s="1"/>
      <c r="N142" s="1"/>
      <c r="O142" s="1"/>
      <c r="P142" s="1"/>
      <c r="Q142" s="1"/>
      <c r="R142" s="1"/>
    </row>
    <row r="143" spans="2:18" x14ac:dyDescent="0.25">
      <c r="B143" s="167"/>
      <c r="F143" s="167"/>
      <c r="G143" s="167"/>
      <c r="H143" s="167"/>
      <c r="I143" s="167"/>
      <c r="J143" s="167"/>
      <c r="K143" s="1"/>
      <c r="L143" s="1"/>
      <c r="M143" s="1"/>
      <c r="N143" s="1"/>
      <c r="O143" s="1"/>
      <c r="P143" s="1"/>
      <c r="Q143" s="1"/>
      <c r="R143" s="1"/>
    </row>
    <row r="144" spans="2:18" x14ac:dyDescent="0.25">
      <c r="B144" s="167"/>
      <c r="F144" s="167"/>
      <c r="G144" s="167"/>
      <c r="H144" s="167"/>
      <c r="I144" s="167"/>
      <c r="J144" s="167"/>
      <c r="K144" s="1"/>
      <c r="L144" s="1"/>
      <c r="M144" s="1"/>
      <c r="N144" s="1"/>
      <c r="O144" s="1"/>
      <c r="P144" s="1"/>
      <c r="Q144" s="1"/>
      <c r="R144" s="1"/>
    </row>
    <row r="145" spans="2:18" x14ac:dyDescent="0.25">
      <c r="B145" s="167"/>
      <c r="F145" s="167"/>
      <c r="G145" s="167"/>
      <c r="H145" s="167"/>
      <c r="I145" s="167"/>
      <c r="J145" s="167"/>
      <c r="K145" s="1"/>
      <c r="L145" s="1"/>
      <c r="M145" s="1"/>
      <c r="N145" s="1"/>
      <c r="O145" s="1"/>
      <c r="P145" s="1"/>
      <c r="Q145" s="1"/>
      <c r="R145" s="1"/>
    </row>
    <row r="146" spans="2:18" x14ac:dyDescent="0.25">
      <c r="B146" s="167"/>
      <c r="F146" s="167"/>
      <c r="G146" s="167"/>
      <c r="H146" s="167"/>
      <c r="I146" s="167"/>
      <c r="J146" s="167"/>
      <c r="K146" s="1"/>
      <c r="L146" s="1"/>
      <c r="M146" s="1"/>
      <c r="N146" s="1"/>
      <c r="O146" s="1"/>
      <c r="P146" s="1"/>
      <c r="Q146" s="1"/>
      <c r="R146" s="1"/>
    </row>
    <row r="147" spans="2:18" x14ac:dyDescent="0.25">
      <c r="B147" s="167"/>
      <c r="F147" s="167"/>
      <c r="G147" s="167"/>
      <c r="H147" s="167"/>
      <c r="I147" s="167"/>
      <c r="J147" s="167"/>
      <c r="K147" s="1"/>
      <c r="L147" s="1"/>
      <c r="M147" s="1"/>
      <c r="N147" s="1"/>
      <c r="O147" s="1"/>
      <c r="P147" s="1"/>
      <c r="Q147" s="1"/>
      <c r="R147" s="1"/>
    </row>
    <row r="148" spans="2:18" x14ac:dyDescent="0.25">
      <c r="B148" s="167"/>
      <c r="F148" s="167"/>
      <c r="G148" s="167"/>
      <c r="H148" s="167"/>
      <c r="I148" s="167"/>
      <c r="J148" s="167"/>
      <c r="K148" s="1"/>
      <c r="L148" s="1"/>
      <c r="M148" s="1"/>
      <c r="N148" s="1"/>
      <c r="O148" s="1"/>
      <c r="P148" s="1"/>
      <c r="Q148" s="1"/>
      <c r="R148" s="1"/>
    </row>
    <row r="149" spans="2:18" x14ac:dyDescent="0.25">
      <c r="B149" s="167"/>
      <c r="F149" s="167"/>
      <c r="G149" s="167"/>
      <c r="H149" s="167"/>
      <c r="I149" s="167"/>
      <c r="J149" s="167"/>
      <c r="K149" s="1"/>
      <c r="L149" s="1"/>
      <c r="M149" s="1"/>
      <c r="N149" s="1"/>
      <c r="O149" s="1"/>
      <c r="P149" s="1"/>
      <c r="Q149" s="1"/>
      <c r="R149" s="1"/>
    </row>
    <row r="150" spans="2:18" x14ac:dyDescent="0.25">
      <c r="B150" s="167"/>
      <c r="F150" s="167"/>
      <c r="G150" s="167"/>
      <c r="H150" s="167"/>
      <c r="I150" s="167"/>
      <c r="J150" s="167"/>
      <c r="K150" s="1"/>
      <c r="L150" s="1"/>
      <c r="M150" s="1"/>
      <c r="N150" s="1"/>
      <c r="O150" s="1"/>
      <c r="P150" s="1"/>
      <c r="Q150" s="1"/>
      <c r="R150" s="1"/>
    </row>
    <row r="151" spans="2:18" x14ac:dyDescent="0.25">
      <c r="B151" s="167"/>
      <c r="F151" s="167"/>
      <c r="G151" s="167"/>
      <c r="H151" s="167"/>
      <c r="I151" s="167"/>
      <c r="J151" s="167"/>
      <c r="K151" s="1"/>
      <c r="L151" s="1"/>
      <c r="M151" s="1"/>
      <c r="N151" s="1"/>
      <c r="O151" s="1"/>
      <c r="P151" s="1"/>
      <c r="Q151" s="1"/>
      <c r="R151" s="1"/>
    </row>
    <row r="152" spans="2:18" x14ac:dyDescent="0.25">
      <c r="B152" s="167"/>
      <c r="F152" s="167"/>
      <c r="G152" s="167"/>
      <c r="H152" s="167"/>
      <c r="I152" s="167"/>
      <c r="J152" s="167"/>
      <c r="K152" s="1"/>
      <c r="L152" s="1"/>
      <c r="M152" s="1"/>
      <c r="N152" s="1"/>
      <c r="O152" s="1"/>
      <c r="P152" s="1"/>
      <c r="Q152" s="1"/>
      <c r="R152" s="1"/>
    </row>
  </sheetData>
  <mergeCells count="210">
    <mergeCell ref="B1:J1"/>
    <mergeCell ref="B2:J2"/>
    <mergeCell ref="B3:C3"/>
    <mergeCell ref="D3:J3"/>
    <mergeCell ref="B4:C4"/>
    <mergeCell ref="D4:J4"/>
    <mergeCell ref="C11:I11"/>
    <mergeCell ref="B12:J12"/>
    <mergeCell ref="B13:F13"/>
    <mergeCell ref="G13:H13"/>
    <mergeCell ref="I13:J13"/>
    <mergeCell ref="B14:F14"/>
    <mergeCell ref="G14:H14"/>
    <mergeCell ref="I14:J14"/>
    <mergeCell ref="B5:J5"/>
    <mergeCell ref="C6:I6"/>
    <mergeCell ref="C7:I7"/>
    <mergeCell ref="C8:I8"/>
    <mergeCell ref="C9:I9"/>
    <mergeCell ref="C10:I10"/>
    <mergeCell ref="C19:H19"/>
    <mergeCell ref="I19:J19"/>
    <mergeCell ref="C20:F20"/>
    <mergeCell ref="I20:J20"/>
    <mergeCell ref="B21:J21"/>
    <mergeCell ref="C22:I22"/>
    <mergeCell ref="B15:J15"/>
    <mergeCell ref="B16:J16"/>
    <mergeCell ref="C17:H17"/>
    <mergeCell ref="I17:J17"/>
    <mergeCell ref="C18:F18"/>
    <mergeCell ref="I18:J18"/>
    <mergeCell ref="B30:B31"/>
    <mergeCell ref="C30:E30"/>
    <mergeCell ref="J30:J31"/>
    <mergeCell ref="K30:P31"/>
    <mergeCell ref="C31:E31"/>
    <mergeCell ref="B32:B33"/>
    <mergeCell ref="J32:J33"/>
    <mergeCell ref="K32:P33"/>
    <mergeCell ref="C23:D23"/>
    <mergeCell ref="C24:D24"/>
    <mergeCell ref="C26:D26"/>
    <mergeCell ref="C27:I27"/>
    <mergeCell ref="B28:J28"/>
    <mergeCell ref="C29:I29"/>
    <mergeCell ref="C37:I37"/>
    <mergeCell ref="K37:P37"/>
    <mergeCell ref="C38:I38"/>
    <mergeCell ref="B39:J39"/>
    <mergeCell ref="B40:J40"/>
    <mergeCell ref="C41:I41"/>
    <mergeCell ref="C34:I34"/>
    <mergeCell ref="K34:P34"/>
    <mergeCell ref="C35:I35"/>
    <mergeCell ref="K35:P35"/>
    <mergeCell ref="C36:I36"/>
    <mergeCell ref="K36:P36"/>
    <mergeCell ref="B48:J48"/>
    <mergeCell ref="B49:J49"/>
    <mergeCell ref="C50:H50"/>
    <mergeCell ref="C51:H51"/>
    <mergeCell ref="K51:L51"/>
    <mergeCell ref="C52:H52"/>
    <mergeCell ref="K52:L52"/>
    <mergeCell ref="C42:I42"/>
    <mergeCell ref="C43:I43"/>
    <mergeCell ref="C44:I44"/>
    <mergeCell ref="C45:I45"/>
    <mergeCell ref="C46:I46"/>
    <mergeCell ref="B47:J47"/>
    <mergeCell ref="C56:H56"/>
    <mergeCell ref="K56:L56"/>
    <mergeCell ref="B57:B58"/>
    <mergeCell ref="C57:F58"/>
    <mergeCell ref="I57:I58"/>
    <mergeCell ref="J57:J58"/>
    <mergeCell ref="K57:L58"/>
    <mergeCell ref="C53:H53"/>
    <mergeCell ref="K53:L53"/>
    <mergeCell ref="C54:H54"/>
    <mergeCell ref="K54:L54"/>
    <mergeCell ref="C55:H55"/>
    <mergeCell ref="K55:L55"/>
    <mergeCell ref="C63:H63"/>
    <mergeCell ref="B64:B65"/>
    <mergeCell ref="C64:H64"/>
    <mergeCell ref="I64:I65"/>
    <mergeCell ref="J64:J65"/>
    <mergeCell ref="C65:H65"/>
    <mergeCell ref="C59:H59"/>
    <mergeCell ref="K59:L59"/>
    <mergeCell ref="C60:H60"/>
    <mergeCell ref="K60:L60"/>
    <mergeCell ref="C61:H61"/>
    <mergeCell ref="B62:J62"/>
    <mergeCell ref="C69:H69"/>
    <mergeCell ref="B70:J70"/>
    <mergeCell ref="C71:H71"/>
    <mergeCell ref="B72:B73"/>
    <mergeCell ref="C72:H72"/>
    <mergeCell ref="I72:I73"/>
    <mergeCell ref="J72:J73"/>
    <mergeCell ref="C73:H73"/>
    <mergeCell ref="C66:H66"/>
    <mergeCell ref="B67:B68"/>
    <mergeCell ref="C67:H67"/>
    <mergeCell ref="I67:I68"/>
    <mergeCell ref="J67:J68"/>
    <mergeCell ref="C68:H68"/>
    <mergeCell ref="B77:J77"/>
    <mergeCell ref="C78:H78"/>
    <mergeCell ref="B79:B80"/>
    <mergeCell ref="C79:H79"/>
    <mergeCell ref="I79:I80"/>
    <mergeCell ref="J79:J80"/>
    <mergeCell ref="C80:H80"/>
    <mergeCell ref="B74:B75"/>
    <mergeCell ref="C74:H74"/>
    <mergeCell ref="I74:I75"/>
    <mergeCell ref="J74:J75"/>
    <mergeCell ref="C75:H75"/>
    <mergeCell ref="C76:H76"/>
    <mergeCell ref="B81:B82"/>
    <mergeCell ref="C81:H81"/>
    <mergeCell ref="I81:I82"/>
    <mergeCell ref="J81:J82"/>
    <mergeCell ref="C82:H82"/>
    <mergeCell ref="B83:B84"/>
    <mergeCell ref="C83:H83"/>
    <mergeCell ref="I83:I84"/>
    <mergeCell ref="J83:J84"/>
    <mergeCell ref="C84:H84"/>
    <mergeCell ref="C89:H89"/>
    <mergeCell ref="B90:J90"/>
    <mergeCell ref="C91:H91"/>
    <mergeCell ref="B92:B93"/>
    <mergeCell ref="C92:H92"/>
    <mergeCell ref="I92:I93"/>
    <mergeCell ref="J92:J93"/>
    <mergeCell ref="B85:B86"/>
    <mergeCell ref="C85:H85"/>
    <mergeCell ref="I85:I86"/>
    <mergeCell ref="J85:J86"/>
    <mergeCell ref="C86:H86"/>
    <mergeCell ref="B87:B88"/>
    <mergeCell ref="C87:H87"/>
    <mergeCell ref="I87:I88"/>
    <mergeCell ref="J87:J88"/>
    <mergeCell ref="C88:H88"/>
    <mergeCell ref="B96:B97"/>
    <mergeCell ref="C96:H96"/>
    <mergeCell ref="I96:I97"/>
    <mergeCell ref="J96:J97"/>
    <mergeCell ref="K96:P96"/>
    <mergeCell ref="C97:H97"/>
    <mergeCell ref="K92:P92"/>
    <mergeCell ref="C93:H93"/>
    <mergeCell ref="B94:B95"/>
    <mergeCell ref="C94:H94"/>
    <mergeCell ref="I94:I95"/>
    <mergeCell ref="J94:J95"/>
    <mergeCell ref="K94:P94"/>
    <mergeCell ref="C95:H95"/>
    <mergeCell ref="B100:B101"/>
    <mergeCell ref="C100:H100"/>
    <mergeCell ref="I100:I101"/>
    <mergeCell ref="J100:J101"/>
    <mergeCell ref="K100:P100"/>
    <mergeCell ref="C101:H101"/>
    <mergeCell ref="B98:B99"/>
    <mergeCell ref="C98:H98"/>
    <mergeCell ref="I98:I99"/>
    <mergeCell ref="J98:J99"/>
    <mergeCell ref="K98:P98"/>
    <mergeCell ref="C99:H99"/>
    <mergeCell ref="C105:H105"/>
    <mergeCell ref="B106:J106"/>
    <mergeCell ref="C107:H107"/>
    <mergeCell ref="C108:H108"/>
    <mergeCell ref="C109:H109"/>
    <mergeCell ref="C110:H110"/>
    <mergeCell ref="C102:H102"/>
    <mergeCell ref="B103:B104"/>
    <mergeCell ref="C103:H103"/>
    <mergeCell ref="I103:I104"/>
    <mergeCell ref="J103:J104"/>
    <mergeCell ref="C104:H104"/>
    <mergeCell ref="C117:H117"/>
    <mergeCell ref="C118:H118"/>
    <mergeCell ref="C119:H119"/>
    <mergeCell ref="C120:H120"/>
    <mergeCell ref="C121:H121"/>
    <mergeCell ref="C122:H122"/>
    <mergeCell ref="C111:H111"/>
    <mergeCell ref="C112:H112"/>
    <mergeCell ref="C113:H113"/>
    <mergeCell ref="B114:J114"/>
    <mergeCell ref="C115:H115"/>
    <mergeCell ref="C116:H116"/>
    <mergeCell ref="C129:I129"/>
    <mergeCell ref="C130:I130"/>
    <mergeCell ref="C131:I131"/>
    <mergeCell ref="C132:I132"/>
    <mergeCell ref="C123:H123"/>
    <mergeCell ref="B124:J124"/>
    <mergeCell ref="C125:I125"/>
    <mergeCell ref="C126:I126"/>
    <mergeCell ref="C127:I127"/>
    <mergeCell ref="C128:I128"/>
  </mergeCells>
  <dataValidations count="1">
    <dataValidation type="list" allowBlank="1" showInputMessage="1" showErrorMessage="1" sqref="J11">
      <formula1>"LUCRO REAL, LUCRO PRESUMIDO, SIMPLES"</formula1>
    </dataValidation>
  </dataValidations>
  <pageMargins left="0.25" right="0.25" top="0.75" bottom="0.75" header="0.3" footer="0.3"/>
  <pageSetup paperSize="9" scale="35" fitToHeight="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R152"/>
  <sheetViews>
    <sheetView topLeftCell="A106" zoomScale="90" zoomScaleNormal="90" zoomScalePageLayoutView="80" workbookViewId="0">
      <selection activeCell="K17" sqref="K17"/>
    </sheetView>
  </sheetViews>
  <sheetFormatPr defaultColWidth="9.140625" defaultRowHeight="18.75" x14ac:dyDescent="0.25"/>
  <cols>
    <col min="1" max="1" width="1.7109375" style="1" customWidth="1"/>
    <col min="2" max="2" width="21.140625" style="166" customWidth="1"/>
    <col min="3" max="5" width="21.140625" style="167" customWidth="1"/>
    <col min="6" max="9" width="21.140625" style="166" customWidth="1"/>
    <col min="10" max="10" width="21.140625" style="168" customWidth="1"/>
    <col min="11" max="11" width="24.140625" style="210" customWidth="1"/>
    <col min="12" max="12" width="9.140625" style="211"/>
    <col min="13" max="13" width="11.7109375" style="211" bestFit="1" customWidth="1"/>
    <col min="14" max="14" width="11.42578125" style="211" bestFit="1" customWidth="1"/>
    <col min="15" max="18" width="9.140625" style="211"/>
    <col min="19" max="16384" width="9.140625" style="1"/>
  </cols>
  <sheetData>
    <row r="1" spans="2:18" x14ac:dyDescent="0.25">
      <c r="B1" s="405" t="s">
        <v>336</v>
      </c>
      <c r="C1" s="405"/>
      <c r="D1" s="405"/>
      <c r="E1" s="405"/>
      <c r="F1" s="405"/>
      <c r="G1" s="405"/>
      <c r="H1" s="405"/>
      <c r="I1" s="405"/>
      <c r="J1" s="405"/>
    </row>
    <row r="2" spans="2:18" x14ac:dyDescent="0.25">
      <c r="B2" s="496" t="s">
        <v>324</v>
      </c>
      <c r="C2" s="496"/>
      <c r="D2" s="496"/>
      <c r="E2" s="496"/>
      <c r="F2" s="496"/>
      <c r="G2" s="496"/>
      <c r="H2" s="496"/>
      <c r="I2" s="496"/>
      <c r="J2" s="496"/>
    </row>
    <row r="3" spans="2:18" x14ac:dyDescent="0.25">
      <c r="B3" s="397" t="s">
        <v>0</v>
      </c>
      <c r="C3" s="397"/>
      <c r="D3" s="452"/>
      <c r="E3" s="453"/>
      <c r="F3" s="453"/>
      <c r="G3" s="453"/>
      <c r="H3" s="453"/>
      <c r="I3" s="453"/>
      <c r="J3" s="455"/>
    </row>
    <row r="4" spans="2:18" x14ac:dyDescent="0.25">
      <c r="B4" s="397" t="s">
        <v>1</v>
      </c>
      <c r="C4" s="397"/>
      <c r="D4" s="497">
        <v>43525</v>
      </c>
      <c r="E4" s="453"/>
      <c r="F4" s="453"/>
      <c r="G4" s="453"/>
      <c r="H4" s="453"/>
      <c r="I4" s="453"/>
      <c r="J4" s="455"/>
    </row>
    <row r="5" spans="2:18" x14ac:dyDescent="0.25">
      <c r="B5" s="491" t="s">
        <v>2</v>
      </c>
      <c r="C5" s="491"/>
      <c r="D5" s="491"/>
      <c r="E5" s="491"/>
      <c r="F5" s="491"/>
      <c r="G5" s="491"/>
      <c r="H5" s="491"/>
      <c r="I5" s="491"/>
      <c r="J5" s="492"/>
    </row>
    <row r="6" spans="2:18" ht="21" customHeight="1" x14ac:dyDescent="0.25">
      <c r="B6" s="201" t="s">
        <v>3</v>
      </c>
      <c r="C6" s="403" t="s">
        <v>4</v>
      </c>
      <c r="D6" s="403"/>
      <c r="E6" s="403"/>
      <c r="F6" s="403"/>
      <c r="G6" s="403"/>
      <c r="H6" s="403"/>
      <c r="I6" s="403"/>
      <c r="J6" s="131"/>
    </row>
    <row r="7" spans="2:18" ht="37.5" x14ac:dyDescent="0.25">
      <c r="B7" s="201" t="s">
        <v>5</v>
      </c>
      <c r="C7" s="403" t="s">
        <v>354</v>
      </c>
      <c r="D7" s="403"/>
      <c r="E7" s="403"/>
      <c r="F7" s="403"/>
      <c r="G7" s="403"/>
      <c r="H7" s="403"/>
      <c r="I7" s="403"/>
      <c r="J7" s="132" t="s">
        <v>499</v>
      </c>
    </row>
    <row r="8" spans="2:18" ht="23.25" customHeight="1" x14ac:dyDescent="0.25">
      <c r="B8" s="201" t="s">
        <v>6</v>
      </c>
      <c r="C8" s="403" t="s">
        <v>7</v>
      </c>
      <c r="D8" s="403"/>
      <c r="E8" s="403"/>
      <c r="F8" s="403"/>
      <c r="G8" s="403"/>
      <c r="H8" s="403"/>
      <c r="I8" s="403"/>
      <c r="J8" s="133">
        <v>2018</v>
      </c>
    </row>
    <row r="9" spans="2:18" ht="23.25" customHeight="1" x14ac:dyDescent="0.25">
      <c r="B9" s="201" t="s">
        <v>8</v>
      </c>
      <c r="C9" s="403" t="s">
        <v>9</v>
      </c>
      <c r="D9" s="403"/>
      <c r="E9" s="403"/>
      <c r="F9" s="403"/>
      <c r="G9" s="403"/>
      <c r="H9" s="403"/>
      <c r="I9" s="403"/>
      <c r="J9" s="134">
        <v>12</v>
      </c>
    </row>
    <row r="10" spans="2:18" ht="22.5" customHeight="1" x14ac:dyDescent="0.25">
      <c r="B10" s="201" t="s">
        <v>10</v>
      </c>
      <c r="C10" s="493" t="s">
        <v>11</v>
      </c>
      <c r="D10" s="494"/>
      <c r="E10" s="494"/>
      <c r="F10" s="494"/>
      <c r="G10" s="494"/>
      <c r="H10" s="494"/>
      <c r="I10" s="495"/>
      <c r="J10" s="135" t="s">
        <v>445</v>
      </c>
    </row>
    <row r="11" spans="2:18" ht="33.75" x14ac:dyDescent="0.25">
      <c r="B11" s="201" t="s">
        <v>12</v>
      </c>
      <c r="C11" s="493" t="s">
        <v>13</v>
      </c>
      <c r="D11" s="494"/>
      <c r="E11" s="494"/>
      <c r="F11" s="494"/>
      <c r="G11" s="494"/>
      <c r="H11" s="494"/>
      <c r="I11" s="495"/>
      <c r="J11" s="136" t="s">
        <v>363</v>
      </c>
      <c r="K11" s="2" t="s">
        <v>325</v>
      </c>
    </row>
    <row r="12" spans="2:18" x14ac:dyDescent="0.25">
      <c r="B12" s="407" t="s">
        <v>14</v>
      </c>
      <c r="C12" s="407"/>
      <c r="D12" s="407"/>
      <c r="E12" s="407"/>
      <c r="F12" s="407"/>
      <c r="G12" s="407"/>
      <c r="H12" s="407"/>
      <c r="I12" s="407"/>
      <c r="J12" s="407"/>
    </row>
    <row r="13" spans="2:18" s="4" customFormat="1" ht="33.75" customHeight="1" x14ac:dyDescent="0.25">
      <c r="B13" s="408" t="s">
        <v>15</v>
      </c>
      <c r="C13" s="408"/>
      <c r="D13" s="408"/>
      <c r="E13" s="408"/>
      <c r="F13" s="408"/>
      <c r="G13" s="400" t="s">
        <v>16</v>
      </c>
      <c r="H13" s="402"/>
      <c r="I13" s="408" t="s">
        <v>17</v>
      </c>
      <c r="J13" s="408"/>
      <c r="K13" s="2"/>
      <c r="L13" s="3"/>
      <c r="M13" s="3"/>
      <c r="N13" s="3"/>
      <c r="O13" s="3"/>
      <c r="P13" s="3"/>
      <c r="Q13" s="3"/>
      <c r="R13" s="3"/>
    </row>
    <row r="14" spans="2:18" ht="18.75" customHeight="1" x14ac:dyDescent="0.25">
      <c r="B14" s="487" t="s">
        <v>446</v>
      </c>
      <c r="C14" s="487"/>
      <c r="D14" s="487"/>
      <c r="E14" s="487"/>
      <c r="F14" s="487"/>
      <c r="G14" s="488" t="s">
        <v>142</v>
      </c>
      <c r="H14" s="489"/>
      <c r="I14" s="490">
        <v>1</v>
      </c>
      <c r="J14" s="490"/>
    </row>
    <row r="15" spans="2:18" x14ac:dyDescent="0.25">
      <c r="B15" s="399" t="s">
        <v>18</v>
      </c>
      <c r="C15" s="399"/>
      <c r="D15" s="399"/>
      <c r="E15" s="399"/>
      <c r="F15" s="399"/>
      <c r="G15" s="399"/>
      <c r="H15" s="399"/>
      <c r="I15" s="399"/>
      <c r="J15" s="399"/>
      <c r="K15" s="211"/>
    </row>
    <row r="16" spans="2:18" x14ac:dyDescent="0.25">
      <c r="B16" s="467" t="s">
        <v>19</v>
      </c>
      <c r="C16" s="468"/>
      <c r="D16" s="468"/>
      <c r="E16" s="468"/>
      <c r="F16" s="468"/>
      <c r="G16" s="468"/>
      <c r="H16" s="468"/>
      <c r="I16" s="468"/>
      <c r="J16" s="469"/>
      <c r="K16" s="211"/>
    </row>
    <row r="17" spans="2:18" ht="21.75" customHeight="1" x14ac:dyDescent="0.25">
      <c r="B17" s="137">
        <v>1</v>
      </c>
      <c r="C17" s="480" t="s">
        <v>20</v>
      </c>
      <c r="D17" s="481"/>
      <c r="E17" s="481"/>
      <c r="F17" s="481"/>
      <c r="G17" s="481"/>
      <c r="H17" s="482"/>
      <c r="I17" s="483" t="s">
        <v>141</v>
      </c>
      <c r="J17" s="483"/>
      <c r="K17" s="211"/>
    </row>
    <row r="18" spans="2:18" x14ac:dyDescent="0.25">
      <c r="B18" s="137">
        <v>2</v>
      </c>
      <c r="C18" s="480" t="s">
        <v>291</v>
      </c>
      <c r="D18" s="481"/>
      <c r="E18" s="481"/>
      <c r="F18" s="481"/>
      <c r="G18" s="197"/>
      <c r="H18" s="197"/>
      <c r="I18" s="486">
        <v>1047.9000000000001</v>
      </c>
      <c r="J18" s="486"/>
      <c r="K18" s="211"/>
      <c r="L18" s="1"/>
      <c r="M18" s="1"/>
      <c r="N18" s="1"/>
      <c r="O18" s="1"/>
      <c r="P18" s="1"/>
      <c r="Q18" s="1"/>
      <c r="R18" s="1"/>
    </row>
    <row r="19" spans="2:18" x14ac:dyDescent="0.25">
      <c r="B19" s="137">
        <v>3</v>
      </c>
      <c r="C19" s="480" t="s">
        <v>316</v>
      </c>
      <c r="D19" s="481"/>
      <c r="E19" s="481"/>
      <c r="F19" s="481"/>
      <c r="G19" s="481"/>
      <c r="H19" s="482"/>
      <c r="I19" s="483" t="str">
        <f>B14</f>
        <v>Servente de Limpeza</v>
      </c>
      <c r="J19" s="483"/>
      <c r="K19" s="211"/>
      <c r="L19" s="1"/>
      <c r="M19" s="1"/>
      <c r="N19" s="1"/>
      <c r="O19" s="1"/>
      <c r="P19" s="1"/>
      <c r="Q19" s="1"/>
      <c r="R19" s="1"/>
    </row>
    <row r="20" spans="2:18" x14ac:dyDescent="0.25">
      <c r="B20" s="137">
        <v>4</v>
      </c>
      <c r="C20" s="480" t="s">
        <v>21</v>
      </c>
      <c r="D20" s="481"/>
      <c r="E20" s="481"/>
      <c r="F20" s="481"/>
      <c r="G20" s="197"/>
      <c r="H20" s="197"/>
      <c r="I20" s="484">
        <v>43101</v>
      </c>
      <c r="J20" s="485"/>
      <c r="K20" s="211"/>
      <c r="L20" s="1"/>
      <c r="M20" s="1"/>
      <c r="N20" s="1"/>
      <c r="O20" s="1"/>
      <c r="P20" s="1"/>
      <c r="Q20" s="1"/>
      <c r="R20" s="1"/>
    </row>
    <row r="21" spans="2:18" x14ac:dyDescent="0.25">
      <c r="B21" s="399" t="s">
        <v>22</v>
      </c>
      <c r="C21" s="399"/>
      <c r="D21" s="399"/>
      <c r="E21" s="399"/>
      <c r="F21" s="399"/>
      <c r="G21" s="399"/>
      <c r="H21" s="399"/>
      <c r="I21" s="399"/>
      <c r="J21" s="399"/>
      <c r="K21" s="211"/>
      <c r="L21" s="1"/>
      <c r="M21" s="1"/>
      <c r="N21" s="1"/>
      <c r="O21" s="1"/>
      <c r="P21" s="1"/>
      <c r="Q21" s="1"/>
      <c r="R21" s="1"/>
    </row>
    <row r="22" spans="2:18" x14ac:dyDescent="0.25">
      <c r="B22" s="204">
        <v>1</v>
      </c>
      <c r="C22" s="398" t="s">
        <v>23</v>
      </c>
      <c r="D22" s="398"/>
      <c r="E22" s="398"/>
      <c r="F22" s="398"/>
      <c r="G22" s="398"/>
      <c r="H22" s="398"/>
      <c r="I22" s="398"/>
      <c r="J22" s="138" t="s">
        <v>24</v>
      </c>
      <c r="K22" s="211"/>
      <c r="L22" s="1"/>
      <c r="M22" s="1"/>
      <c r="N22" s="1"/>
      <c r="O22" s="1"/>
      <c r="P22" s="1"/>
      <c r="Q22" s="1"/>
      <c r="R22" s="1"/>
    </row>
    <row r="23" spans="2:18" x14ac:dyDescent="0.25">
      <c r="B23" s="137" t="s">
        <v>3</v>
      </c>
      <c r="C23" s="464" t="s">
        <v>25</v>
      </c>
      <c r="D23" s="465"/>
      <c r="E23" s="198"/>
      <c r="F23" s="198"/>
      <c r="G23" s="198"/>
      <c r="H23" s="198"/>
      <c r="I23" s="209"/>
      <c r="J23" s="139">
        <f>+I18</f>
        <v>1047.9000000000001</v>
      </c>
      <c r="K23" s="211"/>
      <c r="L23" s="1"/>
      <c r="M23" s="1"/>
      <c r="N23" s="1"/>
      <c r="O23" s="1"/>
      <c r="P23" s="1"/>
      <c r="Q23" s="1"/>
      <c r="R23" s="1"/>
    </row>
    <row r="24" spans="2:18" x14ac:dyDescent="0.25">
      <c r="B24" s="137" t="s">
        <v>5</v>
      </c>
      <c r="C24" s="452" t="s">
        <v>334</v>
      </c>
      <c r="D24" s="453"/>
      <c r="E24" s="200"/>
      <c r="F24" s="200"/>
      <c r="G24" s="200"/>
      <c r="H24" s="200"/>
      <c r="I24" s="203"/>
      <c r="J24" s="139">
        <v>40.39</v>
      </c>
      <c r="K24" s="211"/>
      <c r="L24" s="1"/>
      <c r="M24" s="1"/>
      <c r="N24" s="1"/>
      <c r="O24" s="1"/>
      <c r="P24" s="1"/>
      <c r="Q24" s="1"/>
      <c r="R24" s="1"/>
    </row>
    <row r="25" spans="2:18" x14ac:dyDescent="0.25">
      <c r="B25" s="137" t="s">
        <v>6</v>
      </c>
      <c r="C25" s="199" t="s">
        <v>333</v>
      </c>
      <c r="D25" s="200"/>
      <c r="E25" s="200"/>
      <c r="F25" s="200"/>
      <c r="G25" s="200"/>
      <c r="H25" s="200"/>
      <c r="I25" s="203"/>
      <c r="J25" s="139">
        <f>J23*0.4</f>
        <v>419.16</v>
      </c>
      <c r="K25" s="104"/>
      <c r="L25" s="1"/>
      <c r="M25" s="1"/>
      <c r="N25" s="1"/>
      <c r="O25" s="1"/>
      <c r="P25" s="1"/>
      <c r="Q25" s="1"/>
      <c r="R25" s="1"/>
    </row>
    <row r="26" spans="2:18" x14ac:dyDescent="0.25">
      <c r="B26" s="137" t="s">
        <v>27</v>
      </c>
      <c r="C26" s="452" t="s">
        <v>28</v>
      </c>
      <c r="D26" s="453"/>
      <c r="E26" s="200"/>
      <c r="F26" s="200"/>
      <c r="G26" s="200"/>
      <c r="H26" s="200"/>
      <c r="I26" s="203"/>
      <c r="J26" s="140">
        <v>0</v>
      </c>
      <c r="L26" s="1"/>
      <c r="M26" s="1"/>
      <c r="N26" s="1"/>
      <c r="O26" s="1"/>
      <c r="P26" s="1"/>
      <c r="Q26" s="1"/>
      <c r="R26" s="1"/>
    </row>
    <row r="27" spans="2:18" x14ac:dyDescent="0.25">
      <c r="B27" s="204"/>
      <c r="C27" s="467" t="s">
        <v>29</v>
      </c>
      <c r="D27" s="468"/>
      <c r="E27" s="468"/>
      <c r="F27" s="468"/>
      <c r="G27" s="468"/>
      <c r="H27" s="468"/>
      <c r="I27" s="469"/>
      <c r="J27" s="141">
        <f>SUM(J23:J26)</f>
        <v>1507.45</v>
      </c>
      <c r="L27" s="1"/>
      <c r="M27" s="1"/>
      <c r="N27" s="1"/>
      <c r="O27" s="1"/>
      <c r="P27" s="1"/>
      <c r="Q27" s="1"/>
      <c r="R27" s="1"/>
    </row>
    <row r="28" spans="2:18" x14ac:dyDescent="0.25">
      <c r="B28" s="399" t="s">
        <v>30</v>
      </c>
      <c r="C28" s="399"/>
      <c r="D28" s="399"/>
      <c r="E28" s="399"/>
      <c r="F28" s="399"/>
      <c r="G28" s="399"/>
      <c r="H28" s="399"/>
      <c r="I28" s="399"/>
      <c r="J28" s="399"/>
      <c r="L28" s="1"/>
      <c r="M28" s="1"/>
      <c r="N28" s="1"/>
      <c r="O28" s="1"/>
      <c r="P28" s="1"/>
      <c r="Q28" s="1"/>
      <c r="R28" s="1"/>
    </row>
    <row r="29" spans="2:18" x14ac:dyDescent="0.25">
      <c r="B29" s="204">
        <v>2</v>
      </c>
      <c r="C29" s="398" t="s">
        <v>31</v>
      </c>
      <c r="D29" s="398"/>
      <c r="E29" s="398"/>
      <c r="F29" s="398"/>
      <c r="G29" s="398"/>
      <c r="H29" s="398"/>
      <c r="I29" s="398"/>
      <c r="J29" s="138" t="s">
        <v>24</v>
      </c>
      <c r="L29" s="1"/>
      <c r="M29" s="1"/>
      <c r="N29" s="1"/>
      <c r="O29" s="1"/>
      <c r="P29" s="1"/>
      <c r="Q29" s="1"/>
      <c r="R29" s="1"/>
    </row>
    <row r="30" spans="2:18" x14ac:dyDescent="0.25">
      <c r="B30" s="410" t="s">
        <v>3</v>
      </c>
      <c r="C30" s="426" t="s">
        <v>32</v>
      </c>
      <c r="D30" s="427"/>
      <c r="E30" s="428"/>
      <c r="F30" s="201" t="s">
        <v>33</v>
      </c>
      <c r="G30" s="201" t="s">
        <v>34</v>
      </c>
      <c r="H30" s="201" t="s">
        <v>35</v>
      </c>
      <c r="I30" s="201" t="s">
        <v>36</v>
      </c>
      <c r="J30" s="475">
        <f>(F31*G31*H31)-I31</f>
        <v>150.33000000000001</v>
      </c>
      <c r="K30" s="477" t="s">
        <v>37</v>
      </c>
      <c r="L30" s="477"/>
      <c r="M30" s="477"/>
      <c r="N30" s="477"/>
      <c r="O30" s="477"/>
      <c r="P30" s="477"/>
      <c r="Q30" s="1"/>
      <c r="R30" s="1"/>
    </row>
    <row r="31" spans="2:18" x14ac:dyDescent="0.25">
      <c r="B31" s="411"/>
      <c r="C31" s="429" t="s">
        <v>38</v>
      </c>
      <c r="D31" s="430"/>
      <c r="E31" s="431"/>
      <c r="F31" s="142">
        <v>2</v>
      </c>
      <c r="G31" s="143">
        <v>4.0999999999999996</v>
      </c>
      <c r="H31" s="144">
        <v>26</v>
      </c>
      <c r="I31" s="145">
        <f>(J23*6%)</f>
        <v>62.87</v>
      </c>
      <c r="J31" s="476"/>
      <c r="K31" s="477"/>
      <c r="L31" s="477"/>
      <c r="M31" s="477"/>
      <c r="N31" s="477"/>
      <c r="O31" s="477"/>
      <c r="P31" s="477"/>
      <c r="Q31" s="1"/>
      <c r="R31" s="1"/>
    </row>
    <row r="32" spans="2:18" x14ac:dyDescent="0.25">
      <c r="B32" s="410" t="s">
        <v>5</v>
      </c>
      <c r="C32" s="205" t="s">
        <v>39</v>
      </c>
      <c r="D32" s="206"/>
      <c r="E32" s="206"/>
      <c r="F32" s="206"/>
      <c r="G32" s="201" t="s">
        <v>34</v>
      </c>
      <c r="H32" s="201" t="s">
        <v>35</v>
      </c>
      <c r="I32" s="201" t="s">
        <v>36</v>
      </c>
      <c r="J32" s="478">
        <f>((G33-I33)*H33)</f>
        <v>277.2</v>
      </c>
      <c r="K32" s="477" t="s">
        <v>335</v>
      </c>
      <c r="L32" s="477"/>
      <c r="M32" s="477"/>
      <c r="N32" s="477"/>
      <c r="O32" s="477"/>
      <c r="P32" s="477"/>
      <c r="Q32" s="1"/>
      <c r="R32" s="1"/>
    </row>
    <row r="33" spans="2:18" x14ac:dyDescent="0.25">
      <c r="B33" s="411"/>
      <c r="C33" s="207" t="s">
        <v>201</v>
      </c>
      <c r="D33" s="208"/>
      <c r="E33" s="208"/>
      <c r="F33" s="208"/>
      <c r="G33" s="143">
        <v>14</v>
      </c>
      <c r="H33" s="144">
        <v>22</v>
      </c>
      <c r="I33" s="145">
        <v>1.4</v>
      </c>
      <c r="J33" s="479"/>
      <c r="K33" s="477"/>
      <c r="L33" s="477"/>
      <c r="M33" s="477"/>
      <c r="N33" s="477"/>
      <c r="O33" s="477"/>
      <c r="P33" s="477"/>
      <c r="Q33" s="1"/>
      <c r="R33" s="1"/>
    </row>
    <row r="34" spans="2:18" x14ac:dyDescent="0.25">
      <c r="B34" s="137" t="s">
        <v>6</v>
      </c>
      <c r="C34" s="452" t="s">
        <v>326</v>
      </c>
      <c r="D34" s="453"/>
      <c r="E34" s="453"/>
      <c r="F34" s="453"/>
      <c r="G34" s="453"/>
      <c r="H34" s="453"/>
      <c r="I34" s="455"/>
      <c r="J34" s="146">
        <v>0</v>
      </c>
      <c r="K34" s="471"/>
      <c r="L34" s="472"/>
      <c r="M34" s="472"/>
      <c r="N34" s="472"/>
      <c r="O34" s="472"/>
      <c r="P34" s="472"/>
      <c r="Q34" s="1"/>
      <c r="R34" s="1"/>
    </row>
    <row r="35" spans="2:18" x14ac:dyDescent="0.25">
      <c r="B35" s="137" t="s">
        <v>8</v>
      </c>
      <c r="C35" s="452" t="s">
        <v>447</v>
      </c>
      <c r="D35" s="453"/>
      <c r="E35" s="453"/>
      <c r="F35" s="453"/>
      <c r="G35" s="453"/>
      <c r="H35" s="453"/>
      <c r="I35" s="455"/>
      <c r="J35" s="146">
        <v>22.7</v>
      </c>
      <c r="K35" s="471"/>
      <c r="L35" s="472"/>
      <c r="M35" s="472"/>
      <c r="N35" s="472"/>
      <c r="O35" s="472"/>
      <c r="P35" s="472"/>
      <c r="Q35" s="1"/>
      <c r="R35" s="1"/>
    </row>
    <row r="36" spans="2:18" x14ac:dyDescent="0.25">
      <c r="B36" s="137" t="s">
        <v>10</v>
      </c>
      <c r="C36" s="452" t="s">
        <v>327</v>
      </c>
      <c r="D36" s="453"/>
      <c r="E36" s="453"/>
      <c r="F36" s="453"/>
      <c r="G36" s="453"/>
      <c r="H36" s="453"/>
      <c r="I36" s="455"/>
      <c r="J36" s="146">
        <v>5</v>
      </c>
      <c r="K36" s="473" t="s">
        <v>202</v>
      </c>
      <c r="L36" s="474"/>
      <c r="M36" s="474"/>
      <c r="N36" s="474"/>
      <c r="O36" s="474"/>
      <c r="P36" s="474"/>
      <c r="Q36" s="1"/>
      <c r="R36" s="1"/>
    </row>
    <row r="37" spans="2:18" x14ac:dyDescent="0.25">
      <c r="B37" s="137" t="s">
        <v>12</v>
      </c>
      <c r="C37" s="452" t="s">
        <v>448</v>
      </c>
      <c r="D37" s="453"/>
      <c r="E37" s="453"/>
      <c r="F37" s="453"/>
      <c r="G37" s="453"/>
      <c r="H37" s="453"/>
      <c r="I37" s="455"/>
      <c r="J37" s="146">
        <v>110</v>
      </c>
      <c r="K37" s="471"/>
      <c r="L37" s="472"/>
      <c r="M37" s="472"/>
      <c r="N37" s="472"/>
      <c r="O37" s="472"/>
      <c r="P37" s="472"/>
      <c r="Q37" s="1"/>
      <c r="R37" s="1"/>
    </row>
    <row r="38" spans="2:18" x14ac:dyDescent="0.25">
      <c r="B38" s="204"/>
      <c r="C38" s="467" t="s">
        <v>40</v>
      </c>
      <c r="D38" s="468"/>
      <c r="E38" s="468"/>
      <c r="F38" s="468"/>
      <c r="G38" s="468"/>
      <c r="H38" s="468"/>
      <c r="I38" s="469"/>
      <c r="J38" s="147">
        <f>SUM(J30:J37)</f>
        <v>565.23</v>
      </c>
      <c r="Q38" s="1"/>
      <c r="R38" s="1"/>
    </row>
    <row r="39" spans="2:18" s="211" customFormat="1" x14ac:dyDescent="0.25">
      <c r="B39" s="470" t="s">
        <v>355</v>
      </c>
      <c r="C39" s="470"/>
      <c r="D39" s="470"/>
      <c r="E39" s="470"/>
      <c r="F39" s="470"/>
      <c r="G39" s="470"/>
      <c r="H39" s="470"/>
      <c r="I39" s="470"/>
      <c r="J39" s="470"/>
      <c r="K39" s="210"/>
    </row>
    <row r="40" spans="2:18" x14ac:dyDescent="0.25">
      <c r="B40" s="399" t="s">
        <v>41</v>
      </c>
      <c r="C40" s="399"/>
      <c r="D40" s="399"/>
      <c r="E40" s="399"/>
      <c r="F40" s="399"/>
      <c r="G40" s="399"/>
      <c r="H40" s="399"/>
      <c r="I40" s="399"/>
      <c r="J40" s="399"/>
      <c r="Q40" s="1"/>
      <c r="R40" s="1"/>
    </row>
    <row r="41" spans="2:18" x14ac:dyDescent="0.25">
      <c r="B41" s="204">
        <v>3</v>
      </c>
      <c r="C41" s="398" t="s">
        <v>42</v>
      </c>
      <c r="D41" s="398"/>
      <c r="E41" s="398"/>
      <c r="F41" s="398"/>
      <c r="G41" s="398"/>
      <c r="H41" s="398"/>
      <c r="I41" s="398"/>
      <c r="J41" s="138" t="s">
        <v>24</v>
      </c>
      <c r="Q41" s="1"/>
      <c r="R41" s="1"/>
    </row>
    <row r="42" spans="2:18" x14ac:dyDescent="0.25">
      <c r="B42" s="137" t="s">
        <v>3</v>
      </c>
      <c r="C42" s="464" t="s">
        <v>139</v>
      </c>
      <c r="D42" s="465"/>
      <c r="E42" s="465"/>
      <c r="F42" s="465"/>
      <c r="G42" s="465"/>
      <c r="H42" s="465"/>
      <c r="I42" s="466"/>
      <c r="J42" s="139">
        <f>'Unif. Serv'!E10</f>
        <v>27.26</v>
      </c>
      <c r="K42" s="196" t="s">
        <v>294</v>
      </c>
      <c r="Q42" s="1"/>
      <c r="R42" s="1"/>
    </row>
    <row r="43" spans="2:18" x14ac:dyDescent="0.25">
      <c r="B43" s="137" t="s">
        <v>5</v>
      </c>
      <c r="C43" s="464" t="s">
        <v>43</v>
      </c>
      <c r="D43" s="465"/>
      <c r="E43" s="465"/>
      <c r="F43" s="465"/>
      <c r="G43" s="465"/>
      <c r="H43" s="465"/>
      <c r="I43" s="466"/>
      <c r="J43" s="139">
        <v>250</v>
      </c>
      <c r="K43" s="196" t="s">
        <v>328</v>
      </c>
      <c r="Q43" s="1"/>
      <c r="R43" s="1"/>
    </row>
    <row r="44" spans="2:18" x14ac:dyDescent="0.25">
      <c r="B44" s="137" t="s">
        <v>6</v>
      </c>
      <c r="C44" s="464" t="s">
        <v>44</v>
      </c>
      <c r="D44" s="465"/>
      <c r="E44" s="465"/>
      <c r="F44" s="465"/>
      <c r="G44" s="465"/>
      <c r="H44" s="465"/>
      <c r="I44" s="466"/>
      <c r="J44" s="139">
        <v>30</v>
      </c>
      <c r="K44" s="210" t="s">
        <v>328</v>
      </c>
      <c r="Q44" s="1"/>
      <c r="R44" s="1"/>
    </row>
    <row r="45" spans="2:18" x14ac:dyDescent="0.25">
      <c r="B45" s="137" t="s">
        <v>8</v>
      </c>
      <c r="C45" s="452" t="s">
        <v>331</v>
      </c>
      <c r="D45" s="453"/>
      <c r="E45" s="453"/>
      <c r="F45" s="453"/>
      <c r="G45" s="453"/>
      <c r="H45" s="453"/>
      <c r="I45" s="455"/>
      <c r="J45" s="140">
        <v>0</v>
      </c>
      <c r="K45" s="12"/>
      <c r="N45" s="1"/>
      <c r="O45" s="1"/>
      <c r="P45" s="1"/>
      <c r="Q45" s="1"/>
      <c r="R45" s="1"/>
    </row>
    <row r="46" spans="2:18" x14ac:dyDescent="0.25">
      <c r="B46" s="204"/>
      <c r="C46" s="467" t="s">
        <v>45</v>
      </c>
      <c r="D46" s="468"/>
      <c r="E46" s="468"/>
      <c r="F46" s="468"/>
      <c r="G46" s="468"/>
      <c r="H46" s="468"/>
      <c r="I46" s="469"/>
      <c r="J46" s="141">
        <f>SUM(J42:J45)</f>
        <v>307.26</v>
      </c>
      <c r="N46" s="1"/>
      <c r="O46" s="1"/>
      <c r="P46" s="1"/>
      <c r="Q46" s="1"/>
      <c r="R46" s="1"/>
    </row>
    <row r="47" spans="2:18" s="211" customFormat="1" x14ac:dyDescent="0.25">
      <c r="B47" s="470" t="s">
        <v>356</v>
      </c>
      <c r="C47" s="470"/>
      <c r="D47" s="470"/>
      <c r="E47" s="470"/>
      <c r="F47" s="470"/>
      <c r="G47" s="470"/>
      <c r="H47" s="470"/>
      <c r="I47" s="470"/>
      <c r="J47" s="470"/>
      <c r="K47" s="210"/>
    </row>
    <row r="48" spans="2:18" x14ac:dyDescent="0.25">
      <c r="B48" s="399" t="s">
        <v>46</v>
      </c>
      <c r="C48" s="399"/>
      <c r="D48" s="399"/>
      <c r="E48" s="399"/>
      <c r="F48" s="399"/>
      <c r="G48" s="399"/>
      <c r="H48" s="399"/>
      <c r="I48" s="399"/>
      <c r="J48" s="399"/>
      <c r="N48" s="1"/>
      <c r="O48" s="1"/>
      <c r="P48" s="1"/>
      <c r="Q48" s="1"/>
      <c r="R48" s="1"/>
    </row>
    <row r="49" spans="2:18" x14ac:dyDescent="0.25">
      <c r="B49" s="407" t="s">
        <v>47</v>
      </c>
      <c r="C49" s="407"/>
      <c r="D49" s="407"/>
      <c r="E49" s="407"/>
      <c r="F49" s="407"/>
      <c r="G49" s="407"/>
      <c r="H49" s="407"/>
      <c r="I49" s="407"/>
      <c r="J49" s="407"/>
      <c r="N49" s="1"/>
      <c r="O49" s="1"/>
      <c r="P49" s="1"/>
      <c r="Q49" s="1"/>
      <c r="R49" s="1"/>
    </row>
    <row r="50" spans="2:18" x14ac:dyDescent="0.25">
      <c r="B50" s="204" t="s">
        <v>48</v>
      </c>
      <c r="C50" s="398" t="s">
        <v>49</v>
      </c>
      <c r="D50" s="398"/>
      <c r="E50" s="398"/>
      <c r="F50" s="398"/>
      <c r="G50" s="398"/>
      <c r="H50" s="398"/>
      <c r="I50" s="204" t="s">
        <v>50</v>
      </c>
      <c r="J50" s="138" t="s">
        <v>24</v>
      </c>
      <c r="M50" s="211" t="s">
        <v>51</v>
      </c>
      <c r="N50" s="1"/>
      <c r="O50" s="1"/>
      <c r="P50" s="1"/>
      <c r="Q50" s="1"/>
      <c r="R50" s="1"/>
    </row>
    <row r="51" spans="2:18" x14ac:dyDescent="0.25">
      <c r="B51" s="137" t="s">
        <v>3</v>
      </c>
      <c r="C51" s="396" t="s">
        <v>52</v>
      </c>
      <c r="D51" s="396"/>
      <c r="E51" s="396"/>
      <c r="F51" s="396"/>
      <c r="G51" s="396"/>
      <c r="H51" s="396"/>
      <c r="I51" s="148">
        <v>0.2</v>
      </c>
      <c r="J51" s="140">
        <f>ROUND($J$27*I51,2)</f>
        <v>301.49</v>
      </c>
      <c r="K51" s="425" t="s">
        <v>53</v>
      </c>
      <c r="L51" s="425"/>
      <c r="N51" s="1"/>
      <c r="O51" s="1"/>
      <c r="P51" s="1"/>
      <c r="Q51" s="1"/>
      <c r="R51" s="1"/>
    </row>
    <row r="52" spans="2:18" x14ac:dyDescent="0.25">
      <c r="B52" s="137" t="s">
        <v>5</v>
      </c>
      <c r="C52" s="396" t="s">
        <v>54</v>
      </c>
      <c r="D52" s="396"/>
      <c r="E52" s="396"/>
      <c r="F52" s="396"/>
      <c r="G52" s="396"/>
      <c r="H52" s="396"/>
      <c r="I52" s="148">
        <v>0</v>
      </c>
      <c r="J52" s="140">
        <f t="shared" ref="J52:J57" si="0">ROUND($J$27*I52,2)</f>
        <v>0</v>
      </c>
      <c r="K52" s="425" t="s">
        <v>55</v>
      </c>
      <c r="L52" s="425"/>
      <c r="M52" s="210"/>
      <c r="N52" s="1"/>
      <c r="O52" s="1"/>
      <c r="P52" s="1"/>
      <c r="Q52" s="1"/>
      <c r="R52" s="1"/>
    </row>
    <row r="53" spans="2:18" x14ac:dyDescent="0.25">
      <c r="B53" s="137" t="s">
        <v>6</v>
      </c>
      <c r="C53" s="396" t="s">
        <v>56</v>
      </c>
      <c r="D53" s="396"/>
      <c r="E53" s="396"/>
      <c r="F53" s="396"/>
      <c r="G53" s="396"/>
      <c r="H53" s="396"/>
      <c r="I53" s="148">
        <v>0</v>
      </c>
      <c r="J53" s="140">
        <f t="shared" si="0"/>
        <v>0</v>
      </c>
      <c r="K53" s="425" t="s">
        <v>57</v>
      </c>
      <c r="L53" s="425"/>
      <c r="M53" s="210"/>
      <c r="N53" s="1"/>
      <c r="O53" s="1"/>
      <c r="P53" s="1"/>
      <c r="Q53" s="1"/>
      <c r="R53" s="1"/>
    </row>
    <row r="54" spans="2:18" x14ac:dyDescent="0.25">
      <c r="B54" s="137" t="s">
        <v>8</v>
      </c>
      <c r="C54" s="396" t="s">
        <v>58</v>
      </c>
      <c r="D54" s="396"/>
      <c r="E54" s="396"/>
      <c r="F54" s="396"/>
      <c r="G54" s="396"/>
      <c r="H54" s="396"/>
      <c r="I54" s="148">
        <v>0</v>
      </c>
      <c r="J54" s="140">
        <f t="shared" si="0"/>
        <v>0</v>
      </c>
      <c r="K54" s="425" t="s">
        <v>59</v>
      </c>
      <c r="L54" s="425"/>
      <c r="M54" s="210"/>
      <c r="N54" s="1"/>
      <c r="O54" s="1"/>
      <c r="P54" s="1"/>
      <c r="Q54" s="1"/>
      <c r="R54" s="1"/>
    </row>
    <row r="55" spans="2:18" x14ac:dyDescent="0.25">
      <c r="B55" s="137" t="s">
        <v>10</v>
      </c>
      <c r="C55" s="396" t="s">
        <v>60</v>
      </c>
      <c r="D55" s="396"/>
      <c r="E55" s="396"/>
      <c r="F55" s="396"/>
      <c r="G55" s="396"/>
      <c r="H55" s="396"/>
      <c r="I55" s="149">
        <v>0</v>
      </c>
      <c r="J55" s="140">
        <f t="shared" si="0"/>
        <v>0</v>
      </c>
      <c r="K55" s="425" t="s">
        <v>61</v>
      </c>
      <c r="L55" s="425"/>
      <c r="M55" s="210"/>
      <c r="N55" s="1"/>
      <c r="O55" s="1"/>
      <c r="P55" s="1"/>
      <c r="Q55" s="1"/>
      <c r="R55" s="1"/>
    </row>
    <row r="56" spans="2:18" x14ac:dyDescent="0.25">
      <c r="B56" s="137" t="s">
        <v>12</v>
      </c>
      <c r="C56" s="396" t="s">
        <v>62</v>
      </c>
      <c r="D56" s="396"/>
      <c r="E56" s="396"/>
      <c r="F56" s="396"/>
      <c r="G56" s="396"/>
      <c r="H56" s="396"/>
      <c r="I56" s="149">
        <v>0.08</v>
      </c>
      <c r="J56" s="140">
        <f t="shared" si="0"/>
        <v>120.6</v>
      </c>
      <c r="K56" s="425" t="s">
        <v>63</v>
      </c>
      <c r="L56" s="425"/>
      <c r="M56" s="6" t="s">
        <v>64</v>
      </c>
      <c r="N56" s="1"/>
      <c r="O56" s="1"/>
      <c r="P56" s="1"/>
      <c r="Q56" s="1"/>
      <c r="R56" s="1"/>
    </row>
    <row r="57" spans="2:18" ht="12.75" customHeight="1" x14ac:dyDescent="0.25">
      <c r="B57" s="459" t="s">
        <v>26</v>
      </c>
      <c r="C57" s="412" t="s">
        <v>65</v>
      </c>
      <c r="D57" s="413"/>
      <c r="E57" s="413"/>
      <c r="F57" s="414"/>
      <c r="G57" s="150" t="s">
        <v>66</v>
      </c>
      <c r="H57" s="150" t="s">
        <v>67</v>
      </c>
      <c r="I57" s="461">
        <f>G58*H58</f>
        <v>0.03</v>
      </c>
      <c r="J57" s="417">
        <f t="shared" si="0"/>
        <v>45.22</v>
      </c>
      <c r="K57" s="463" t="s">
        <v>68</v>
      </c>
      <c r="L57" s="463"/>
      <c r="M57" s="210" t="s">
        <v>144</v>
      </c>
      <c r="N57" s="1"/>
      <c r="O57" s="1"/>
      <c r="P57" s="1"/>
      <c r="Q57" s="1"/>
      <c r="R57" s="1"/>
    </row>
    <row r="58" spans="2:18" x14ac:dyDescent="0.25">
      <c r="B58" s="460"/>
      <c r="C58" s="438"/>
      <c r="D58" s="439"/>
      <c r="E58" s="439"/>
      <c r="F58" s="440"/>
      <c r="G58" s="213">
        <v>0.03</v>
      </c>
      <c r="H58" s="151">
        <v>1</v>
      </c>
      <c r="I58" s="462"/>
      <c r="J58" s="418"/>
      <c r="K58" s="463"/>
      <c r="L58" s="463"/>
      <c r="M58" s="210" t="s">
        <v>69</v>
      </c>
      <c r="N58" s="1"/>
      <c r="O58" s="1"/>
      <c r="P58" s="1"/>
      <c r="Q58" s="1"/>
      <c r="R58" s="1"/>
    </row>
    <row r="59" spans="2:18" x14ac:dyDescent="0.25">
      <c r="B59" s="137" t="s">
        <v>27</v>
      </c>
      <c r="C59" s="452" t="s">
        <v>70</v>
      </c>
      <c r="D59" s="453"/>
      <c r="E59" s="453"/>
      <c r="F59" s="453"/>
      <c r="G59" s="453"/>
      <c r="H59" s="454"/>
      <c r="I59" s="148">
        <v>0</v>
      </c>
      <c r="J59" s="140">
        <f>ROUND($J$27*I59,2)</f>
        <v>0</v>
      </c>
      <c r="K59" s="425" t="s">
        <v>71</v>
      </c>
      <c r="L59" s="425"/>
      <c r="M59" s="210" t="s">
        <v>145</v>
      </c>
      <c r="N59" s="1"/>
      <c r="O59" s="1"/>
      <c r="P59" s="1"/>
      <c r="Q59" s="1"/>
      <c r="R59" s="1"/>
    </row>
    <row r="60" spans="2:18" x14ac:dyDescent="0.25">
      <c r="B60" s="137" t="s">
        <v>72</v>
      </c>
      <c r="C60" s="452" t="s">
        <v>73</v>
      </c>
      <c r="D60" s="453"/>
      <c r="E60" s="453"/>
      <c r="F60" s="453"/>
      <c r="G60" s="453"/>
      <c r="H60" s="455"/>
      <c r="I60" s="152">
        <v>0</v>
      </c>
      <c r="J60" s="140">
        <f>ROUND($J$27*I60,2)</f>
        <v>0</v>
      </c>
      <c r="K60" s="425" t="s">
        <v>74</v>
      </c>
      <c r="L60" s="425"/>
      <c r="M60" s="210"/>
      <c r="N60" s="1"/>
      <c r="O60" s="1"/>
      <c r="P60" s="1"/>
      <c r="Q60" s="1"/>
      <c r="R60" s="1"/>
    </row>
    <row r="61" spans="2:18" x14ac:dyDescent="0.25">
      <c r="B61" s="204"/>
      <c r="C61" s="456" t="s">
        <v>75</v>
      </c>
      <c r="D61" s="457"/>
      <c r="E61" s="457"/>
      <c r="F61" s="457"/>
      <c r="G61" s="457"/>
      <c r="H61" s="458"/>
      <c r="I61" s="153">
        <f>(I51+I52+I53+I54+I55+I56+I57+I59)</f>
        <v>0.31</v>
      </c>
      <c r="J61" s="141">
        <f>SUM(J51:J60)</f>
        <v>467.31</v>
      </c>
      <c r="M61" s="1"/>
      <c r="N61" s="1"/>
      <c r="O61" s="1"/>
      <c r="P61" s="1"/>
      <c r="Q61" s="1"/>
      <c r="R61" s="1"/>
    </row>
    <row r="62" spans="2:18" x14ac:dyDescent="0.25">
      <c r="B62" s="407" t="s">
        <v>76</v>
      </c>
      <c r="C62" s="407"/>
      <c r="D62" s="407"/>
      <c r="E62" s="407"/>
      <c r="F62" s="407"/>
      <c r="G62" s="407"/>
      <c r="H62" s="407"/>
      <c r="I62" s="407"/>
      <c r="J62" s="407"/>
      <c r="M62" s="1"/>
      <c r="N62" s="1"/>
      <c r="O62" s="1"/>
      <c r="P62" s="1"/>
      <c r="Q62" s="1"/>
      <c r="R62" s="1"/>
    </row>
    <row r="63" spans="2:18" x14ac:dyDescent="0.25">
      <c r="B63" s="204" t="s">
        <v>77</v>
      </c>
      <c r="C63" s="398" t="s">
        <v>78</v>
      </c>
      <c r="D63" s="398"/>
      <c r="E63" s="398"/>
      <c r="F63" s="398"/>
      <c r="G63" s="398"/>
      <c r="H63" s="398"/>
      <c r="I63" s="204" t="s">
        <v>50</v>
      </c>
      <c r="J63" s="138" t="s">
        <v>24</v>
      </c>
      <c r="M63" s="1"/>
      <c r="N63" s="1"/>
      <c r="O63" s="1"/>
      <c r="P63" s="1"/>
      <c r="Q63" s="1"/>
      <c r="R63" s="1"/>
    </row>
    <row r="64" spans="2:18" x14ac:dyDescent="0.25">
      <c r="B64" s="410" t="s">
        <v>3</v>
      </c>
      <c r="C64" s="426" t="s">
        <v>79</v>
      </c>
      <c r="D64" s="427"/>
      <c r="E64" s="427"/>
      <c r="F64" s="427"/>
      <c r="G64" s="427"/>
      <c r="H64" s="428"/>
      <c r="I64" s="446">
        <f>+J64/$J$27</f>
        <v>8.3299999999999999E-2</v>
      </c>
      <c r="J64" s="417">
        <f>ROUND($J$27/12,2)</f>
        <v>125.62</v>
      </c>
      <c r="K64" s="210" t="s">
        <v>80</v>
      </c>
      <c r="M64" s="1"/>
      <c r="N64" s="1"/>
      <c r="O64" s="1"/>
      <c r="P64" s="1"/>
      <c r="Q64" s="1"/>
      <c r="R64" s="1"/>
    </row>
    <row r="65" spans="2:18" x14ac:dyDescent="0.25">
      <c r="B65" s="411"/>
      <c r="C65" s="429" t="s">
        <v>80</v>
      </c>
      <c r="D65" s="430"/>
      <c r="E65" s="430"/>
      <c r="F65" s="430"/>
      <c r="G65" s="430"/>
      <c r="H65" s="431"/>
      <c r="I65" s="447"/>
      <c r="J65" s="418"/>
      <c r="L65" s="28"/>
      <c r="M65" s="1"/>
      <c r="N65" s="1"/>
      <c r="O65" s="1"/>
      <c r="P65" s="1"/>
      <c r="Q65" s="1"/>
      <c r="R65" s="1"/>
    </row>
    <row r="66" spans="2:18" x14ac:dyDescent="0.25">
      <c r="B66" s="212"/>
      <c r="C66" s="449" t="s">
        <v>81</v>
      </c>
      <c r="D66" s="450"/>
      <c r="E66" s="450"/>
      <c r="F66" s="450"/>
      <c r="G66" s="450"/>
      <c r="H66" s="451"/>
      <c r="I66" s="154"/>
      <c r="J66" s="155">
        <f>SUM(J64:J64)</f>
        <v>125.62</v>
      </c>
      <c r="K66" s="7">
        <f>+J66/J27</f>
        <v>8.3299999999999999E-2</v>
      </c>
      <c r="L66" s="8"/>
      <c r="M66" s="1"/>
      <c r="N66" s="1"/>
      <c r="O66" s="1"/>
      <c r="P66" s="1"/>
      <c r="Q66" s="1"/>
      <c r="R66" s="1"/>
    </row>
    <row r="67" spans="2:18" ht="12.75" customHeight="1" x14ac:dyDescent="0.25">
      <c r="B67" s="410" t="s">
        <v>5</v>
      </c>
      <c r="C67" s="412" t="s">
        <v>82</v>
      </c>
      <c r="D67" s="413"/>
      <c r="E67" s="413"/>
      <c r="F67" s="413"/>
      <c r="G67" s="413"/>
      <c r="H67" s="414"/>
      <c r="I67" s="446">
        <v>2.7799999999999998E-2</v>
      </c>
      <c r="J67" s="417">
        <f>ROUND(J66*$I$61,2)</f>
        <v>38.94</v>
      </c>
      <c r="K67" s="210" t="s">
        <v>83</v>
      </c>
      <c r="M67" s="1"/>
      <c r="N67" s="1"/>
      <c r="O67" s="1"/>
      <c r="P67" s="1"/>
      <c r="Q67" s="1"/>
      <c r="R67" s="1"/>
    </row>
    <row r="68" spans="2:18" x14ac:dyDescent="0.25">
      <c r="B68" s="411"/>
      <c r="C68" s="419" t="s">
        <v>84</v>
      </c>
      <c r="D68" s="420"/>
      <c r="E68" s="420"/>
      <c r="F68" s="420"/>
      <c r="G68" s="420"/>
      <c r="H68" s="421"/>
      <c r="I68" s="447"/>
      <c r="J68" s="418"/>
      <c r="L68" s="28"/>
      <c r="M68" s="1"/>
      <c r="N68" s="1"/>
      <c r="O68" s="1"/>
      <c r="P68" s="1"/>
      <c r="Q68" s="1"/>
      <c r="R68" s="1"/>
    </row>
    <row r="69" spans="2:18" x14ac:dyDescent="0.25">
      <c r="B69" s="204"/>
      <c r="C69" s="398" t="s">
        <v>75</v>
      </c>
      <c r="D69" s="398"/>
      <c r="E69" s="398"/>
      <c r="F69" s="398"/>
      <c r="G69" s="398"/>
      <c r="H69" s="398"/>
      <c r="I69" s="153">
        <f>+I64+I67</f>
        <v>0.1111</v>
      </c>
      <c r="J69" s="141">
        <f>SUM(J66:J67)</f>
        <v>164.56</v>
      </c>
      <c r="M69" s="1"/>
      <c r="N69" s="1"/>
      <c r="O69" s="1"/>
      <c r="P69" s="1"/>
      <c r="Q69" s="1"/>
      <c r="R69" s="1"/>
    </row>
    <row r="70" spans="2:18" x14ac:dyDescent="0.25">
      <c r="B70" s="407" t="s">
        <v>85</v>
      </c>
      <c r="C70" s="407"/>
      <c r="D70" s="407"/>
      <c r="E70" s="407"/>
      <c r="F70" s="407"/>
      <c r="G70" s="407"/>
      <c r="H70" s="407"/>
      <c r="I70" s="407"/>
      <c r="J70" s="407"/>
      <c r="M70" s="1"/>
      <c r="N70" s="1"/>
      <c r="O70" s="1"/>
      <c r="P70" s="1"/>
      <c r="Q70" s="1"/>
      <c r="R70" s="1"/>
    </row>
    <row r="71" spans="2:18" x14ac:dyDescent="0.25">
      <c r="B71" s="204" t="s">
        <v>86</v>
      </c>
      <c r="C71" s="398" t="s">
        <v>87</v>
      </c>
      <c r="D71" s="398"/>
      <c r="E71" s="398"/>
      <c r="F71" s="398"/>
      <c r="G71" s="398"/>
      <c r="H71" s="398"/>
      <c r="I71" s="204" t="s">
        <v>50</v>
      </c>
      <c r="J71" s="138" t="s">
        <v>24</v>
      </c>
      <c r="M71" s="1"/>
      <c r="N71" s="1"/>
      <c r="O71" s="1"/>
      <c r="P71" s="1"/>
      <c r="Q71" s="1"/>
      <c r="R71" s="1"/>
    </row>
    <row r="72" spans="2:18" x14ac:dyDescent="0.25">
      <c r="B72" s="410" t="s">
        <v>3</v>
      </c>
      <c r="C72" s="426" t="s">
        <v>88</v>
      </c>
      <c r="D72" s="427"/>
      <c r="E72" s="427"/>
      <c r="F72" s="427"/>
      <c r="G72" s="427"/>
      <c r="H72" s="428"/>
      <c r="I72" s="446">
        <f>J72/$J$27</f>
        <v>6.9999999999999999E-4</v>
      </c>
      <c r="J72" s="417">
        <f>ROUND(((($J$27+(J27/3))/12)*(4/12))*2%,2)</f>
        <v>1.1200000000000001</v>
      </c>
      <c r="K72" s="7" t="s">
        <v>89</v>
      </c>
      <c r="M72" s="1"/>
      <c r="N72" s="1"/>
      <c r="O72" s="1"/>
      <c r="P72" s="1"/>
      <c r="Q72" s="1"/>
      <c r="R72" s="1"/>
    </row>
    <row r="73" spans="2:18" x14ac:dyDescent="0.25">
      <c r="B73" s="411"/>
      <c r="C73" s="448" t="s">
        <v>89</v>
      </c>
      <c r="D73" s="430"/>
      <c r="E73" s="430"/>
      <c r="F73" s="430"/>
      <c r="G73" s="430"/>
      <c r="H73" s="431"/>
      <c r="I73" s="447"/>
      <c r="J73" s="418"/>
      <c r="K73" s="7"/>
      <c r="M73" s="1"/>
      <c r="N73" s="1"/>
      <c r="O73" s="1"/>
      <c r="P73" s="1"/>
      <c r="Q73" s="1"/>
      <c r="R73" s="1"/>
    </row>
    <row r="74" spans="2:18" ht="12.75" customHeight="1" x14ac:dyDescent="0.25">
      <c r="B74" s="410" t="s">
        <v>5</v>
      </c>
      <c r="C74" s="412" t="s">
        <v>90</v>
      </c>
      <c r="D74" s="413"/>
      <c r="E74" s="413"/>
      <c r="F74" s="413"/>
      <c r="G74" s="413"/>
      <c r="H74" s="414"/>
      <c r="I74" s="446">
        <f>J74/$J$27</f>
        <v>2.0000000000000001E-4</v>
      </c>
      <c r="J74" s="417">
        <f>ROUND(J72*$I$61,2)</f>
        <v>0.35</v>
      </c>
      <c r="K74" s="210" t="s">
        <v>197</v>
      </c>
      <c r="M74" s="1"/>
      <c r="N74" s="1"/>
      <c r="O74" s="1"/>
      <c r="P74" s="1"/>
      <c r="Q74" s="1"/>
      <c r="R74" s="1"/>
    </row>
    <row r="75" spans="2:18" x14ac:dyDescent="0.25">
      <c r="B75" s="411"/>
      <c r="C75" s="419" t="s">
        <v>197</v>
      </c>
      <c r="D75" s="420"/>
      <c r="E75" s="420"/>
      <c r="F75" s="420"/>
      <c r="G75" s="420"/>
      <c r="H75" s="421"/>
      <c r="I75" s="447"/>
      <c r="J75" s="418"/>
      <c r="L75" s="28"/>
      <c r="M75" s="1"/>
      <c r="N75" s="1"/>
      <c r="O75" s="1"/>
      <c r="P75" s="1"/>
      <c r="Q75" s="1"/>
      <c r="R75" s="1"/>
    </row>
    <row r="76" spans="2:18" x14ac:dyDescent="0.25">
      <c r="B76" s="204"/>
      <c r="C76" s="398" t="s">
        <v>75</v>
      </c>
      <c r="D76" s="398"/>
      <c r="E76" s="398"/>
      <c r="F76" s="398"/>
      <c r="G76" s="398"/>
      <c r="H76" s="398"/>
      <c r="I76" s="153">
        <f>+I72+I74</f>
        <v>8.9999999999999998E-4</v>
      </c>
      <c r="J76" s="141">
        <f>SUM(J72:J74)</f>
        <v>1.47</v>
      </c>
      <c r="M76" s="1"/>
      <c r="N76" s="1"/>
      <c r="O76" s="1"/>
      <c r="P76" s="1"/>
      <c r="Q76" s="1"/>
      <c r="R76" s="1"/>
    </row>
    <row r="77" spans="2:18" x14ac:dyDescent="0.25">
      <c r="B77" s="407" t="s">
        <v>91</v>
      </c>
      <c r="C77" s="407"/>
      <c r="D77" s="407"/>
      <c r="E77" s="407"/>
      <c r="F77" s="407"/>
      <c r="G77" s="407"/>
      <c r="H77" s="407"/>
      <c r="I77" s="407"/>
      <c r="J77" s="407"/>
      <c r="Q77" s="1"/>
      <c r="R77" s="1"/>
    </row>
    <row r="78" spans="2:18" x14ac:dyDescent="0.25">
      <c r="B78" s="204" t="s">
        <v>92</v>
      </c>
      <c r="C78" s="443" t="s">
        <v>93</v>
      </c>
      <c r="D78" s="444"/>
      <c r="E78" s="444"/>
      <c r="F78" s="444"/>
      <c r="G78" s="444"/>
      <c r="H78" s="445"/>
      <c r="I78" s="204" t="s">
        <v>50</v>
      </c>
      <c r="J78" s="138" t="s">
        <v>24</v>
      </c>
      <c r="Q78" s="1"/>
      <c r="R78" s="1"/>
    </row>
    <row r="79" spans="2:18" x14ac:dyDescent="0.25">
      <c r="B79" s="410" t="s">
        <v>3</v>
      </c>
      <c r="C79" s="426" t="s">
        <v>94</v>
      </c>
      <c r="D79" s="427"/>
      <c r="E79" s="427"/>
      <c r="F79" s="427"/>
      <c r="G79" s="427"/>
      <c r="H79" s="428"/>
      <c r="I79" s="415">
        <f>+J79/$J$27</f>
        <v>4.1999999999999997E-3</v>
      </c>
      <c r="J79" s="417">
        <f>ROUND((((J27/12)*(30/30))*5)/100,2)</f>
        <v>6.28</v>
      </c>
      <c r="K79" s="7" t="s">
        <v>95</v>
      </c>
      <c r="Q79" s="1"/>
      <c r="R79" s="1"/>
    </row>
    <row r="80" spans="2:18" x14ac:dyDescent="0.25">
      <c r="B80" s="411"/>
      <c r="C80" s="429" t="s">
        <v>140</v>
      </c>
      <c r="D80" s="430"/>
      <c r="E80" s="430"/>
      <c r="F80" s="430"/>
      <c r="G80" s="430"/>
      <c r="H80" s="431"/>
      <c r="I80" s="416"/>
      <c r="J80" s="418"/>
      <c r="K80" s="7"/>
      <c r="Q80" s="1"/>
      <c r="R80" s="1"/>
    </row>
    <row r="81" spans="2:18" ht="12.75" customHeight="1" x14ac:dyDescent="0.25">
      <c r="B81" s="410" t="s">
        <v>5</v>
      </c>
      <c r="C81" s="432" t="s">
        <v>96</v>
      </c>
      <c r="D81" s="433"/>
      <c r="E81" s="433"/>
      <c r="F81" s="433"/>
      <c r="G81" s="433"/>
      <c r="H81" s="434"/>
      <c r="I81" s="415">
        <f>+J81/$J$27</f>
        <v>2.9999999999999997E-4</v>
      </c>
      <c r="J81" s="417">
        <f>ROUND(J79*8%,2)</f>
        <v>0.5</v>
      </c>
      <c r="K81" s="210" t="s">
        <v>97</v>
      </c>
      <c r="Q81" s="1"/>
      <c r="R81" s="1"/>
    </row>
    <row r="82" spans="2:18" x14ac:dyDescent="0.25">
      <c r="B82" s="411"/>
      <c r="C82" s="432" t="s">
        <v>97</v>
      </c>
      <c r="D82" s="433"/>
      <c r="E82" s="433"/>
      <c r="F82" s="433"/>
      <c r="G82" s="433"/>
      <c r="H82" s="434"/>
      <c r="I82" s="416"/>
      <c r="J82" s="418"/>
      <c r="Q82" s="1"/>
      <c r="R82" s="1"/>
    </row>
    <row r="83" spans="2:18" ht="12.75" customHeight="1" x14ac:dyDescent="0.25">
      <c r="B83" s="410" t="s">
        <v>6</v>
      </c>
      <c r="C83" s="441" t="s">
        <v>98</v>
      </c>
      <c r="D83" s="441"/>
      <c r="E83" s="441"/>
      <c r="F83" s="441"/>
      <c r="G83" s="441"/>
      <c r="H83" s="441"/>
      <c r="I83" s="415">
        <f xml:space="preserve"> ((7 / 30) / 12)</f>
        <v>1.9400000000000001E-2</v>
      </c>
      <c r="J83" s="417">
        <f>ROUND(((J27/30)*7)/12,2)</f>
        <v>29.31</v>
      </c>
      <c r="K83" s="7" t="s">
        <v>99</v>
      </c>
      <c r="Q83" s="1"/>
      <c r="R83" s="1"/>
    </row>
    <row r="84" spans="2:18" ht="18.75" customHeight="1" x14ac:dyDescent="0.25">
      <c r="B84" s="411"/>
      <c r="C84" s="442" t="s">
        <v>100</v>
      </c>
      <c r="D84" s="442"/>
      <c r="E84" s="442"/>
      <c r="F84" s="442"/>
      <c r="G84" s="442"/>
      <c r="H84" s="442"/>
      <c r="I84" s="416"/>
      <c r="J84" s="418"/>
      <c r="K84" s="7"/>
      <c r="M84" s="28"/>
      <c r="N84" s="28"/>
      <c r="O84" s="28"/>
      <c r="Q84" s="1"/>
      <c r="R84" s="1"/>
    </row>
    <row r="85" spans="2:18" ht="12.75" customHeight="1" x14ac:dyDescent="0.25">
      <c r="B85" s="410" t="s">
        <v>8</v>
      </c>
      <c r="C85" s="432" t="s">
        <v>101</v>
      </c>
      <c r="D85" s="433"/>
      <c r="E85" s="433"/>
      <c r="F85" s="433"/>
      <c r="G85" s="433"/>
      <c r="H85" s="434"/>
      <c r="I85" s="415">
        <f>J85/$J$27</f>
        <v>6.0000000000000001E-3</v>
      </c>
      <c r="J85" s="417">
        <f>ROUND(J83*$I$61,2)</f>
        <v>9.09</v>
      </c>
      <c r="K85" s="210" t="s">
        <v>198</v>
      </c>
      <c r="O85" s="28"/>
      <c r="Q85" s="1"/>
      <c r="R85" s="1"/>
    </row>
    <row r="86" spans="2:18" x14ac:dyDescent="0.25">
      <c r="B86" s="411"/>
      <c r="C86" s="435" t="s">
        <v>198</v>
      </c>
      <c r="D86" s="436"/>
      <c r="E86" s="436"/>
      <c r="F86" s="436"/>
      <c r="G86" s="436"/>
      <c r="H86" s="437"/>
      <c r="I86" s="416"/>
      <c r="J86" s="418"/>
      <c r="Q86" s="1"/>
      <c r="R86" s="1"/>
    </row>
    <row r="87" spans="2:18" ht="17.25" customHeight="1" x14ac:dyDescent="0.25">
      <c r="B87" s="410" t="s">
        <v>10</v>
      </c>
      <c r="C87" s="412" t="s">
        <v>102</v>
      </c>
      <c r="D87" s="413"/>
      <c r="E87" s="413"/>
      <c r="F87" s="413"/>
      <c r="G87" s="413"/>
      <c r="H87" s="414"/>
      <c r="I87" s="415">
        <f>J87/$J$27</f>
        <v>0.05</v>
      </c>
      <c r="J87" s="417">
        <f>ROUND((($J$27)* 5%),2)</f>
        <v>75.37</v>
      </c>
      <c r="K87" s="210" t="s">
        <v>103</v>
      </c>
      <c r="Q87" s="1"/>
      <c r="R87" s="1"/>
    </row>
    <row r="88" spans="2:18" x14ac:dyDescent="0.25">
      <c r="B88" s="411"/>
      <c r="C88" s="438" t="s">
        <v>104</v>
      </c>
      <c r="D88" s="439"/>
      <c r="E88" s="439"/>
      <c r="F88" s="439"/>
      <c r="G88" s="439"/>
      <c r="H88" s="440"/>
      <c r="I88" s="416"/>
      <c r="J88" s="418"/>
      <c r="Q88" s="1"/>
      <c r="R88" s="1"/>
    </row>
    <row r="89" spans="2:18" x14ac:dyDescent="0.25">
      <c r="B89" s="204"/>
      <c r="C89" s="404" t="s">
        <v>75</v>
      </c>
      <c r="D89" s="405"/>
      <c r="E89" s="405"/>
      <c r="F89" s="405"/>
      <c r="G89" s="405"/>
      <c r="H89" s="406"/>
      <c r="I89" s="153">
        <f>SUM(G79:I87)</f>
        <v>7.9899999999999999E-2</v>
      </c>
      <c r="J89" s="141">
        <f>SUM(J79:J87)</f>
        <v>120.55</v>
      </c>
      <c r="K89" s="9"/>
      <c r="Q89" s="1"/>
      <c r="R89" s="1"/>
    </row>
    <row r="90" spans="2:18" x14ac:dyDescent="0.25">
      <c r="B90" s="407" t="s">
        <v>105</v>
      </c>
      <c r="C90" s="407"/>
      <c r="D90" s="407"/>
      <c r="E90" s="407"/>
      <c r="F90" s="407"/>
      <c r="G90" s="407"/>
      <c r="H90" s="407"/>
      <c r="I90" s="407"/>
      <c r="J90" s="407"/>
      <c r="K90" s="7"/>
      <c r="Q90" s="1"/>
      <c r="R90" s="1"/>
    </row>
    <row r="91" spans="2:18" ht="21" customHeight="1" x14ac:dyDescent="0.25">
      <c r="B91" s="204" t="s">
        <v>106</v>
      </c>
      <c r="C91" s="400" t="s">
        <v>107</v>
      </c>
      <c r="D91" s="401"/>
      <c r="E91" s="401"/>
      <c r="F91" s="401"/>
      <c r="G91" s="401"/>
      <c r="H91" s="402"/>
      <c r="I91" s="204" t="s">
        <v>50</v>
      </c>
      <c r="J91" s="138" t="s">
        <v>24</v>
      </c>
      <c r="K91" s="5"/>
      <c r="Q91" s="1"/>
      <c r="R91" s="1"/>
    </row>
    <row r="92" spans="2:18" x14ac:dyDescent="0.25">
      <c r="B92" s="410" t="s">
        <v>3</v>
      </c>
      <c r="C92" s="422" t="s">
        <v>108</v>
      </c>
      <c r="D92" s="423"/>
      <c r="E92" s="423"/>
      <c r="F92" s="423"/>
      <c r="G92" s="423"/>
      <c r="H92" s="424"/>
      <c r="I92" s="415">
        <v>0.121</v>
      </c>
      <c r="J92" s="417">
        <f>ROUND(($J$27*I92),2)</f>
        <v>182.4</v>
      </c>
      <c r="K92" s="425" t="s">
        <v>109</v>
      </c>
      <c r="L92" s="425"/>
      <c r="M92" s="425"/>
      <c r="N92" s="425"/>
      <c r="O92" s="425"/>
      <c r="P92" s="425"/>
      <c r="Q92" s="1"/>
      <c r="R92" s="1"/>
    </row>
    <row r="93" spans="2:18" x14ac:dyDescent="0.25">
      <c r="B93" s="411"/>
      <c r="C93" s="422" t="s">
        <v>109</v>
      </c>
      <c r="D93" s="423"/>
      <c r="E93" s="423"/>
      <c r="F93" s="423"/>
      <c r="G93" s="423"/>
      <c r="H93" s="424"/>
      <c r="I93" s="416"/>
      <c r="J93" s="418"/>
      <c r="L93" s="210"/>
      <c r="M93" s="210"/>
      <c r="N93" s="210"/>
      <c r="O93" s="210"/>
      <c r="P93" s="29"/>
      <c r="Q93" s="30"/>
      <c r="R93" s="1"/>
    </row>
    <row r="94" spans="2:18" x14ac:dyDescent="0.25">
      <c r="B94" s="410" t="s">
        <v>5</v>
      </c>
      <c r="C94" s="426" t="s">
        <v>110</v>
      </c>
      <c r="D94" s="427"/>
      <c r="E94" s="427"/>
      <c r="F94" s="427"/>
      <c r="G94" s="427"/>
      <c r="H94" s="428"/>
      <c r="I94" s="415">
        <f>+J94/$J$27</f>
        <v>1.3899999999999999E-2</v>
      </c>
      <c r="J94" s="417">
        <f>ROUND( (($J$27 / 30) * 5) /12,2)</f>
        <v>20.94</v>
      </c>
      <c r="K94" s="425" t="s">
        <v>111</v>
      </c>
      <c r="L94" s="425"/>
      <c r="M94" s="425"/>
      <c r="N94" s="425"/>
      <c r="O94" s="425"/>
      <c r="P94" s="425"/>
      <c r="Q94" s="31"/>
      <c r="R94" s="1"/>
    </row>
    <row r="95" spans="2:18" x14ac:dyDescent="0.25">
      <c r="B95" s="411"/>
      <c r="C95" s="429" t="s">
        <v>111</v>
      </c>
      <c r="D95" s="430"/>
      <c r="E95" s="430"/>
      <c r="F95" s="430"/>
      <c r="G95" s="430"/>
      <c r="H95" s="431"/>
      <c r="I95" s="416"/>
      <c r="J95" s="418"/>
      <c r="L95" s="210"/>
      <c r="M95" s="210"/>
      <c r="N95" s="210"/>
      <c r="O95" s="210"/>
      <c r="P95" s="210"/>
      <c r="Q95" s="1"/>
      <c r="R95" s="1"/>
    </row>
    <row r="96" spans="2:18" x14ac:dyDescent="0.25">
      <c r="B96" s="410" t="s">
        <v>6</v>
      </c>
      <c r="C96" s="422" t="s">
        <v>112</v>
      </c>
      <c r="D96" s="423"/>
      <c r="E96" s="423"/>
      <c r="F96" s="423"/>
      <c r="G96" s="423"/>
      <c r="H96" s="424"/>
      <c r="I96" s="415">
        <f>+J96/$J$27</f>
        <v>2.0000000000000001E-4</v>
      </c>
      <c r="J96" s="417">
        <f>ROUND( ((($J$27 / 30) * 5) /12) * 1.5%,2)</f>
        <v>0.31</v>
      </c>
      <c r="K96" s="425" t="s">
        <v>113</v>
      </c>
      <c r="L96" s="425"/>
      <c r="M96" s="425"/>
      <c r="N96" s="425"/>
      <c r="O96" s="425"/>
      <c r="P96" s="425"/>
      <c r="Q96" s="1"/>
      <c r="R96" s="1"/>
    </row>
    <row r="97" spans="2:18" x14ac:dyDescent="0.25">
      <c r="B97" s="411"/>
      <c r="C97" s="422" t="s">
        <v>113</v>
      </c>
      <c r="D97" s="423"/>
      <c r="E97" s="423"/>
      <c r="F97" s="423"/>
      <c r="G97" s="423"/>
      <c r="H97" s="424"/>
      <c r="I97" s="416"/>
      <c r="J97" s="418"/>
      <c r="L97" s="210"/>
      <c r="M97" s="210"/>
      <c r="N97" s="210"/>
      <c r="O97" s="210"/>
      <c r="P97" s="210"/>
      <c r="Q97" s="1"/>
      <c r="R97" s="1"/>
    </row>
    <row r="98" spans="2:18" x14ac:dyDescent="0.25">
      <c r="B98" s="410" t="s">
        <v>8</v>
      </c>
      <c r="C98" s="426" t="s">
        <v>114</v>
      </c>
      <c r="D98" s="427"/>
      <c r="E98" s="427"/>
      <c r="F98" s="427"/>
      <c r="G98" s="427"/>
      <c r="H98" s="428"/>
      <c r="I98" s="415">
        <f>+J98/$J$27</f>
        <v>8.2000000000000007E-3</v>
      </c>
      <c r="J98" s="417">
        <f>ROUND((($J$27 / 30) * 2.96) /12,2)</f>
        <v>12.39</v>
      </c>
      <c r="K98" s="425" t="s">
        <v>115</v>
      </c>
      <c r="L98" s="425"/>
      <c r="M98" s="425"/>
      <c r="N98" s="425"/>
      <c r="O98" s="425"/>
      <c r="P98" s="425"/>
      <c r="Q98" s="1"/>
      <c r="R98" s="1"/>
    </row>
    <row r="99" spans="2:18" x14ac:dyDescent="0.25">
      <c r="B99" s="411"/>
      <c r="C99" s="429" t="s">
        <v>115</v>
      </c>
      <c r="D99" s="430"/>
      <c r="E99" s="430"/>
      <c r="F99" s="430"/>
      <c r="G99" s="430"/>
      <c r="H99" s="431"/>
      <c r="I99" s="416"/>
      <c r="J99" s="418"/>
      <c r="L99" s="210"/>
      <c r="M99" s="210"/>
      <c r="N99" s="210"/>
      <c r="O99" s="210"/>
      <c r="P99" s="210"/>
      <c r="Q99" s="1"/>
      <c r="R99" s="1"/>
    </row>
    <row r="100" spans="2:18" x14ac:dyDescent="0.25">
      <c r="B100" s="410" t="s">
        <v>10</v>
      </c>
      <c r="C100" s="422" t="s">
        <v>116</v>
      </c>
      <c r="D100" s="423"/>
      <c r="E100" s="423"/>
      <c r="F100" s="423"/>
      <c r="G100" s="423"/>
      <c r="H100" s="424"/>
      <c r="I100" s="415">
        <f>+J100/$J$27</f>
        <v>2.9999999999999997E-4</v>
      </c>
      <c r="J100" s="417">
        <f>ROUND(((($J$27 / 30) *15) /12) * 0.78%,2)</f>
        <v>0.49</v>
      </c>
      <c r="K100" s="425" t="s">
        <v>117</v>
      </c>
      <c r="L100" s="425"/>
      <c r="M100" s="425"/>
      <c r="N100" s="425"/>
      <c r="O100" s="425"/>
      <c r="P100" s="425"/>
      <c r="Q100" s="1"/>
      <c r="R100" s="1"/>
    </row>
    <row r="101" spans="2:18" x14ac:dyDescent="0.25">
      <c r="B101" s="411"/>
      <c r="C101" s="422" t="s">
        <v>117</v>
      </c>
      <c r="D101" s="423"/>
      <c r="E101" s="423"/>
      <c r="F101" s="423"/>
      <c r="G101" s="423"/>
      <c r="H101" s="424"/>
      <c r="I101" s="416"/>
      <c r="J101" s="418"/>
      <c r="L101" s="210"/>
      <c r="M101" s="210"/>
      <c r="N101" s="210"/>
      <c r="O101" s="210"/>
      <c r="P101" s="210"/>
      <c r="Q101" s="1"/>
      <c r="R101" s="1"/>
    </row>
    <row r="102" spans="2:18" x14ac:dyDescent="0.25">
      <c r="B102" s="156"/>
      <c r="C102" s="409" t="s">
        <v>81</v>
      </c>
      <c r="D102" s="409"/>
      <c r="E102" s="409"/>
      <c r="F102" s="409"/>
      <c r="G102" s="409"/>
      <c r="H102" s="409"/>
      <c r="I102" s="157">
        <f>SUM(I92:I101)</f>
        <v>0.14360000000000001</v>
      </c>
      <c r="J102" s="155">
        <f>SUM(J92:J101)</f>
        <v>216.53</v>
      </c>
      <c r="K102" s="10"/>
      <c r="Q102" s="1"/>
      <c r="R102" s="1"/>
    </row>
    <row r="103" spans="2:18" ht="12.75" customHeight="1" x14ac:dyDescent="0.25">
      <c r="B103" s="410" t="s">
        <v>26</v>
      </c>
      <c r="C103" s="412" t="s">
        <v>118</v>
      </c>
      <c r="D103" s="413"/>
      <c r="E103" s="413"/>
      <c r="F103" s="413"/>
      <c r="G103" s="413"/>
      <c r="H103" s="414"/>
      <c r="I103" s="415">
        <f>J103/$J$27</f>
        <v>4.4499999999999998E-2</v>
      </c>
      <c r="J103" s="417">
        <f>ROUND(J102*$I$61,2)</f>
        <v>67.12</v>
      </c>
      <c r="K103" s="210" t="s">
        <v>199</v>
      </c>
      <c r="Q103" s="1"/>
      <c r="R103" s="1"/>
    </row>
    <row r="104" spans="2:18" x14ac:dyDescent="0.25">
      <c r="B104" s="411"/>
      <c r="C104" s="419" t="s">
        <v>199</v>
      </c>
      <c r="D104" s="420"/>
      <c r="E104" s="420"/>
      <c r="F104" s="420"/>
      <c r="G104" s="420"/>
      <c r="H104" s="421"/>
      <c r="I104" s="416"/>
      <c r="J104" s="418"/>
      <c r="Q104" s="1"/>
      <c r="R104" s="1"/>
    </row>
    <row r="105" spans="2:18" x14ac:dyDescent="0.25">
      <c r="B105" s="204"/>
      <c r="C105" s="404" t="s">
        <v>75</v>
      </c>
      <c r="D105" s="405"/>
      <c r="E105" s="405"/>
      <c r="F105" s="405"/>
      <c r="G105" s="405"/>
      <c r="H105" s="406"/>
      <c r="I105" s="158">
        <f>SUM(I102:I104)</f>
        <v>0.18809999999999999</v>
      </c>
      <c r="J105" s="141">
        <f>SUM(J102:J103)</f>
        <v>283.64999999999998</v>
      </c>
      <c r="Q105" s="1"/>
      <c r="R105" s="1"/>
    </row>
    <row r="106" spans="2:18" x14ac:dyDescent="0.25">
      <c r="B106" s="407" t="s">
        <v>119</v>
      </c>
      <c r="C106" s="407"/>
      <c r="D106" s="407"/>
      <c r="E106" s="407"/>
      <c r="F106" s="407"/>
      <c r="G106" s="407"/>
      <c r="H106" s="407"/>
      <c r="I106" s="407"/>
      <c r="J106" s="407"/>
      <c r="L106" s="11"/>
      <c r="Q106" s="1"/>
      <c r="R106" s="1"/>
    </row>
    <row r="107" spans="2:18" ht="21" customHeight="1" x14ac:dyDescent="0.25">
      <c r="B107" s="204">
        <v>4</v>
      </c>
      <c r="C107" s="408" t="s">
        <v>120</v>
      </c>
      <c r="D107" s="408"/>
      <c r="E107" s="408"/>
      <c r="F107" s="408"/>
      <c r="G107" s="408"/>
      <c r="H107" s="408"/>
      <c r="I107" s="202" t="s">
        <v>50</v>
      </c>
      <c r="J107" s="138" t="s">
        <v>24</v>
      </c>
      <c r="K107" s="12"/>
      <c r="L107" s="13"/>
      <c r="Q107" s="1"/>
      <c r="R107" s="1"/>
    </row>
    <row r="108" spans="2:18" ht="19.5" customHeight="1" x14ac:dyDescent="0.25">
      <c r="B108" s="137" t="s">
        <v>48</v>
      </c>
      <c r="C108" s="403" t="s">
        <v>49</v>
      </c>
      <c r="D108" s="403"/>
      <c r="E108" s="403"/>
      <c r="F108" s="403"/>
      <c r="G108" s="403"/>
      <c r="H108" s="403"/>
      <c r="I108" s="159">
        <f>+I61</f>
        <v>0.31</v>
      </c>
      <c r="J108" s="140">
        <f>+J61</f>
        <v>467.31</v>
      </c>
      <c r="K108" s="12"/>
      <c r="L108" s="13"/>
      <c r="Q108" s="1"/>
      <c r="R108" s="1"/>
    </row>
    <row r="109" spans="2:18" ht="19.5" customHeight="1" x14ac:dyDescent="0.25">
      <c r="B109" s="137" t="s">
        <v>77</v>
      </c>
      <c r="C109" s="403" t="s">
        <v>121</v>
      </c>
      <c r="D109" s="403"/>
      <c r="E109" s="403"/>
      <c r="F109" s="403"/>
      <c r="G109" s="403"/>
      <c r="H109" s="403"/>
      <c r="I109" s="159">
        <f>+I69</f>
        <v>0.1111</v>
      </c>
      <c r="J109" s="140">
        <f>+J69</f>
        <v>164.56</v>
      </c>
      <c r="K109" s="12"/>
      <c r="L109" s="13"/>
      <c r="M109" s="1"/>
      <c r="N109" s="1"/>
      <c r="O109" s="1"/>
      <c r="P109" s="1"/>
      <c r="Q109" s="1"/>
      <c r="R109" s="1"/>
    </row>
    <row r="110" spans="2:18" ht="21" customHeight="1" x14ac:dyDescent="0.25">
      <c r="B110" s="137" t="s">
        <v>86</v>
      </c>
      <c r="C110" s="403" t="s">
        <v>88</v>
      </c>
      <c r="D110" s="403"/>
      <c r="E110" s="403"/>
      <c r="F110" s="403"/>
      <c r="G110" s="403"/>
      <c r="H110" s="403"/>
      <c r="I110" s="159">
        <f>+I76</f>
        <v>8.9999999999999998E-4</v>
      </c>
      <c r="J110" s="140">
        <f>+J76</f>
        <v>1.47</v>
      </c>
      <c r="K110" s="14"/>
      <c r="L110" s="13"/>
      <c r="M110" s="1"/>
      <c r="N110" s="1"/>
      <c r="O110" s="1"/>
      <c r="P110" s="1"/>
      <c r="Q110" s="1"/>
      <c r="R110" s="1"/>
    </row>
    <row r="111" spans="2:18" ht="21" customHeight="1" x14ac:dyDescent="0.25">
      <c r="B111" s="137" t="s">
        <v>92</v>
      </c>
      <c r="C111" s="403" t="s">
        <v>93</v>
      </c>
      <c r="D111" s="403"/>
      <c r="E111" s="403"/>
      <c r="F111" s="403"/>
      <c r="G111" s="403"/>
      <c r="H111" s="403"/>
      <c r="I111" s="159">
        <f>+I89</f>
        <v>7.9899999999999999E-2</v>
      </c>
      <c r="J111" s="140">
        <f>+J89</f>
        <v>120.55</v>
      </c>
      <c r="K111" s="12"/>
      <c r="M111" s="1"/>
      <c r="N111" s="1"/>
      <c r="O111" s="1"/>
      <c r="P111" s="1"/>
      <c r="Q111" s="1"/>
      <c r="R111" s="1"/>
    </row>
    <row r="112" spans="2:18" ht="21" customHeight="1" x14ac:dyDescent="0.25">
      <c r="B112" s="137" t="s">
        <v>106</v>
      </c>
      <c r="C112" s="403" t="s">
        <v>107</v>
      </c>
      <c r="D112" s="403"/>
      <c r="E112" s="403"/>
      <c r="F112" s="403"/>
      <c r="G112" s="403"/>
      <c r="H112" s="403"/>
      <c r="I112" s="159">
        <f>+I105</f>
        <v>0.18809999999999999</v>
      </c>
      <c r="J112" s="140">
        <f>+J105</f>
        <v>283.64999999999998</v>
      </c>
      <c r="K112" s="12"/>
      <c r="L112" s="13"/>
      <c r="M112" s="1"/>
      <c r="N112" s="1"/>
      <c r="O112" s="1"/>
      <c r="P112" s="1"/>
      <c r="Q112" s="1"/>
      <c r="R112" s="1"/>
    </row>
    <row r="113" spans="2:18" x14ac:dyDescent="0.25">
      <c r="B113" s="204"/>
      <c r="C113" s="398" t="s">
        <v>75</v>
      </c>
      <c r="D113" s="398"/>
      <c r="E113" s="398"/>
      <c r="F113" s="398"/>
      <c r="G113" s="398"/>
      <c r="H113" s="398"/>
      <c r="I113" s="160">
        <f>SUM(I108:I112)</f>
        <v>0.69</v>
      </c>
      <c r="J113" s="141">
        <f>SUM(J108:J112)</f>
        <v>1037.54</v>
      </c>
      <c r="L113" s="33"/>
      <c r="M113" s="1"/>
      <c r="N113" s="1"/>
      <c r="O113" s="1"/>
      <c r="P113" s="1"/>
      <c r="Q113" s="1"/>
      <c r="R113" s="1"/>
    </row>
    <row r="114" spans="2:18" x14ac:dyDescent="0.25">
      <c r="B114" s="399" t="s">
        <v>122</v>
      </c>
      <c r="C114" s="399"/>
      <c r="D114" s="399"/>
      <c r="E114" s="399"/>
      <c r="F114" s="399"/>
      <c r="G114" s="399"/>
      <c r="H114" s="399"/>
      <c r="I114" s="399"/>
      <c r="J114" s="399"/>
      <c r="L114" s="33"/>
      <c r="M114" s="1"/>
      <c r="N114" s="1"/>
      <c r="O114" s="1"/>
      <c r="P114" s="1"/>
      <c r="Q114" s="1"/>
      <c r="R114" s="1"/>
    </row>
    <row r="115" spans="2:18" x14ac:dyDescent="0.25">
      <c r="B115" s="204">
        <v>5</v>
      </c>
      <c r="C115" s="398" t="s">
        <v>123</v>
      </c>
      <c r="D115" s="398"/>
      <c r="E115" s="398"/>
      <c r="F115" s="398"/>
      <c r="G115" s="398"/>
      <c r="H115" s="398"/>
      <c r="I115" s="202" t="s">
        <v>50</v>
      </c>
      <c r="J115" s="138" t="s">
        <v>24</v>
      </c>
      <c r="K115" s="15" t="s">
        <v>124</v>
      </c>
      <c r="L115" s="33"/>
      <c r="M115" s="30"/>
      <c r="N115" s="1"/>
      <c r="O115" s="1"/>
      <c r="P115" s="1"/>
      <c r="Q115" s="1"/>
      <c r="R115" s="1"/>
    </row>
    <row r="116" spans="2:18" x14ac:dyDescent="0.25">
      <c r="B116" s="137" t="s">
        <v>3</v>
      </c>
      <c r="C116" s="403" t="s">
        <v>125</v>
      </c>
      <c r="D116" s="403"/>
      <c r="E116" s="403"/>
      <c r="F116" s="403"/>
      <c r="G116" s="403"/>
      <c r="H116" s="403"/>
      <c r="I116" s="161">
        <v>7.0000000000000007E-2</v>
      </c>
      <c r="J116" s="140">
        <f>ROUND((J27+J38+J46+J113)*I116,2)</f>
        <v>239.22</v>
      </c>
      <c r="K116" s="16">
        <f>(J27+J38+J46+J113)</f>
        <v>3417.48</v>
      </c>
      <c r="L116" s="34"/>
      <c r="M116" s="30"/>
      <c r="N116" s="1"/>
      <c r="O116" s="1"/>
      <c r="P116" s="1"/>
      <c r="Q116" s="1"/>
      <c r="R116" s="1"/>
    </row>
    <row r="117" spans="2:18" x14ac:dyDescent="0.25">
      <c r="B117" s="137" t="s">
        <v>5</v>
      </c>
      <c r="C117" s="396" t="s">
        <v>126</v>
      </c>
      <c r="D117" s="396"/>
      <c r="E117" s="396"/>
      <c r="F117" s="396"/>
      <c r="G117" s="396"/>
      <c r="H117" s="396"/>
      <c r="I117" s="159"/>
      <c r="J117" s="140"/>
      <c r="K117" s="17"/>
      <c r="L117" s="33"/>
      <c r="M117" s="1"/>
      <c r="N117" s="1"/>
      <c r="O117" s="1"/>
      <c r="P117" s="1"/>
      <c r="Q117" s="1"/>
      <c r="R117" s="1"/>
    </row>
    <row r="118" spans="2:18" x14ac:dyDescent="0.25">
      <c r="B118" s="137"/>
      <c r="C118" s="396" t="s">
        <v>357</v>
      </c>
      <c r="D118" s="396"/>
      <c r="E118" s="396"/>
      <c r="F118" s="396"/>
      <c r="G118" s="396"/>
      <c r="H118" s="396"/>
      <c r="I118" s="162">
        <f>IF($J$11="simples",0.4%,IF($J$11="lucro presumido",0.65%,1.65%))</f>
        <v>4.0000000000000001E-3</v>
      </c>
      <c r="J118" s="140">
        <f>ROUND($K$119*I118,2)</f>
        <v>16.79</v>
      </c>
      <c r="K118" s="15" t="s">
        <v>127</v>
      </c>
      <c r="L118" s="33"/>
      <c r="M118" s="30"/>
      <c r="N118" s="1"/>
      <c r="O118" s="1"/>
      <c r="P118" s="1"/>
      <c r="Q118" s="1"/>
      <c r="R118" s="1"/>
    </row>
    <row r="119" spans="2:18" x14ac:dyDescent="0.25">
      <c r="B119" s="137"/>
      <c r="C119" s="396" t="s">
        <v>358</v>
      </c>
      <c r="D119" s="396"/>
      <c r="E119" s="396"/>
      <c r="F119" s="396"/>
      <c r="G119" s="396"/>
      <c r="H119" s="396"/>
      <c r="I119" s="162">
        <f>IF($J$11="simples",2.27%,IF($J$11="lucro presumido",3%,7.6%))</f>
        <v>2.2700000000000001E-2</v>
      </c>
      <c r="J119" s="140">
        <f>ROUND($K$119*I119,2)</f>
        <v>95.3</v>
      </c>
      <c r="K119" s="16">
        <f>ROUND(((K116+J116+J122)/(1-I121)),2)</f>
        <v>4198.09</v>
      </c>
      <c r="L119" s="34"/>
      <c r="M119" s="19"/>
      <c r="N119" s="1"/>
      <c r="O119" s="1"/>
      <c r="P119" s="1"/>
      <c r="Q119" s="1"/>
      <c r="R119" s="1"/>
    </row>
    <row r="120" spans="2:18" x14ac:dyDescent="0.25">
      <c r="B120" s="137"/>
      <c r="C120" s="396" t="s">
        <v>359</v>
      </c>
      <c r="D120" s="396"/>
      <c r="E120" s="396"/>
      <c r="F120" s="396"/>
      <c r="G120" s="396"/>
      <c r="H120" s="396"/>
      <c r="I120" s="162">
        <f>IF($J$11="simples",5%,IF($J$11="lucro presumido",5%,2.5%))</f>
        <v>0.05</v>
      </c>
      <c r="J120" s="140">
        <f>ROUND($K$119*I120,2)</f>
        <v>209.9</v>
      </c>
      <c r="K120" s="18"/>
      <c r="L120" s="33"/>
      <c r="M120" s="30"/>
      <c r="N120" s="32"/>
      <c r="O120" s="1"/>
      <c r="P120" s="1"/>
      <c r="Q120" s="1"/>
      <c r="R120" s="1"/>
    </row>
    <row r="121" spans="2:18" x14ac:dyDescent="0.25">
      <c r="B121" s="204"/>
      <c r="C121" s="398" t="s">
        <v>128</v>
      </c>
      <c r="D121" s="398"/>
      <c r="E121" s="398"/>
      <c r="F121" s="398"/>
      <c r="G121" s="398"/>
      <c r="H121" s="398"/>
      <c r="I121" s="160">
        <f>SUM(I118:I120)</f>
        <v>7.6700000000000004E-2</v>
      </c>
      <c r="J121" s="141">
        <f>SUM(J118:J120)</f>
        <v>321.99</v>
      </c>
      <c r="K121" s="15" t="s">
        <v>129</v>
      </c>
      <c r="L121" s="33"/>
      <c r="M121" s="1"/>
      <c r="N121" s="30"/>
      <c r="O121" s="1"/>
      <c r="P121" s="1"/>
      <c r="Q121" s="1"/>
      <c r="R121" s="1"/>
    </row>
    <row r="122" spans="2:18" x14ac:dyDescent="0.25">
      <c r="B122" s="137" t="s">
        <v>6</v>
      </c>
      <c r="C122" s="396" t="s">
        <v>130</v>
      </c>
      <c r="D122" s="396"/>
      <c r="E122" s="396"/>
      <c r="F122" s="396"/>
      <c r="G122" s="396"/>
      <c r="H122" s="396"/>
      <c r="I122" s="161">
        <v>0.06</v>
      </c>
      <c r="J122" s="140">
        <f>ROUND(K122*I122,2)</f>
        <v>219.4</v>
      </c>
      <c r="K122" s="16">
        <f>(+K116+J116)</f>
        <v>3656.7</v>
      </c>
      <c r="L122" s="34"/>
      <c r="M122" s="30"/>
      <c r="N122" s="1"/>
      <c r="O122" s="1"/>
      <c r="P122" s="1"/>
      <c r="Q122" s="1"/>
      <c r="R122" s="1"/>
    </row>
    <row r="123" spans="2:18" x14ac:dyDescent="0.25">
      <c r="B123" s="204"/>
      <c r="C123" s="398" t="s">
        <v>75</v>
      </c>
      <c r="D123" s="398"/>
      <c r="E123" s="398"/>
      <c r="F123" s="398"/>
      <c r="G123" s="398"/>
      <c r="H123" s="398"/>
      <c r="I123" s="160">
        <f>+I116+I121+I122</f>
        <v>0.20669999999999999</v>
      </c>
      <c r="J123" s="141">
        <f>ROUND(J116+J121+J122,2)</f>
        <v>780.61</v>
      </c>
      <c r="L123" s="33"/>
      <c r="M123" s="30"/>
      <c r="N123" s="1"/>
      <c r="O123" s="1"/>
      <c r="P123" s="1"/>
      <c r="Q123" s="1"/>
      <c r="R123" s="1"/>
    </row>
    <row r="124" spans="2:18" x14ac:dyDescent="0.25">
      <c r="B124" s="399" t="s">
        <v>131</v>
      </c>
      <c r="C124" s="399"/>
      <c r="D124" s="399"/>
      <c r="E124" s="399"/>
      <c r="F124" s="399"/>
      <c r="G124" s="399"/>
      <c r="H124" s="399"/>
      <c r="I124" s="399"/>
      <c r="J124" s="399"/>
      <c r="L124" s="33"/>
      <c r="M124" s="1"/>
      <c r="N124" s="1"/>
      <c r="O124" s="1"/>
      <c r="P124" s="1"/>
      <c r="Q124" s="1"/>
      <c r="R124" s="1"/>
    </row>
    <row r="125" spans="2:18" ht="36.75" customHeight="1" x14ac:dyDescent="0.25">
      <c r="B125" s="204"/>
      <c r="C125" s="400" t="s">
        <v>132</v>
      </c>
      <c r="D125" s="401"/>
      <c r="E125" s="401"/>
      <c r="F125" s="401"/>
      <c r="G125" s="401"/>
      <c r="H125" s="401"/>
      <c r="I125" s="402"/>
      <c r="J125" s="138" t="s">
        <v>24</v>
      </c>
      <c r="M125" s="1"/>
      <c r="N125" s="1"/>
      <c r="O125" s="1"/>
      <c r="P125" s="1"/>
      <c r="Q125" s="1"/>
      <c r="R125" s="1"/>
    </row>
    <row r="126" spans="2:18" ht="19.5" customHeight="1" x14ac:dyDescent="0.25">
      <c r="B126" s="137" t="s">
        <v>3</v>
      </c>
      <c r="C126" s="403" t="s">
        <v>22</v>
      </c>
      <c r="D126" s="403"/>
      <c r="E126" s="403"/>
      <c r="F126" s="403"/>
      <c r="G126" s="403"/>
      <c r="H126" s="403"/>
      <c r="I126" s="403"/>
      <c r="J126" s="163">
        <f>+J27</f>
        <v>1507.45</v>
      </c>
      <c r="M126" s="1"/>
      <c r="N126" s="1"/>
      <c r="O126" s="1"/>
      <c r="P126" s="1"/>
      <c r="Q126" s="1"/>
      <c r="R126" s="1"/>
    </row>
    <row r="127" spans="2:18" x14ac:dyDescent="0.25">
      <c r="B127" s="137" t="s">
        <v>5</v>
      </c>
      <c r="C127" s="396" t="s">
        <v>30</v>
      </c>
      <c r="D127" s="396"/>
      <c r="E127" s="396"/>
      <c r="F127" s="396"/>
      <c r="G127" s="396"/>
      <c r="H127" s="396"/>
      <c r="I127" s="396"/>
      <c r="J127" s="163">
        <f>+J38</f>
        <v>565.23</v>
      </c>
      <c r="M127" s="1"/>
      <c r="N127" s="1"/>
      <c r="O127" s="1"/>
      <c r="P127" s="1"/>
      <c r="Q127" s="1"/>
      <c r="R127" s="1"/>
    </row>
    <row r="128" spans="2:18" x14ac:dyDescent="0.25">
      <c r="B128" s="137" t="s">
        <v>6</v>
      </c>
      <c r="C128" s="396" t="s">
        <v>41</v>
      </c>
      <c r="D128" s="396"/>
      <c r="E128" s="396"/>
      <c r="F128" s="396"/>
      <c r="G128" s="396"/>
      <c r="H128" s="396"/>
      <c r="I128" s="396"/>
      <c r="J128" s="163">
        <f>+J46</f>
        <v>307.26</v>
      </c>
      <c r="M128" s="1"/>
      <c r="N128" s="1"/>
      <c r="O128" s="1"/>
      <c r="P128" s="1"/>
      <c r="Q128" s="1"/>
      <c r="R128" s="1"/>
    </row>
    <row r="129" spans="2:18" x14ac:dyDescent="0.25">
      <c r="B129" s="137" t="s">
        <v>8</v>
      </c>
      <c r="C129" s="396" t="s">
        <v>46</v>
      </c>
      <c r="D129" s="396"/>
      <c r="E129" s="396"/>
      <c r="F129" s="396"/>
      <c r="G129" s="396"/>
      <c r="H129" s="396"/>
      <c r="I129" s="396"/>
      <c r="J129" s="163">
        <f>+J113</f>
        <v>1037.54</v>
      </c>
      <c r="M129" s="1"/>
      <c r="N129" s="1"/>
      <c r="O129" s="1"/>
      <c r="P129" s="1"/>
      <c r="Q129" s="1"/>
      <c r="R129" s="1"/>
    </row>
    <row r="130" spans="2:18" x14ac:dyDescent="0.25">
      <c r="B130" s="137"/>
      <c r="C130" s="397" t="s">
        <v>133</v>
      </c>
      <c r="D130" s="397"/>
      <c r="E130" s="397"/>
      <c r="F130" s="397"/>
      <c r="G130" s="397"/>
      <c r="H130" s="397"/>
      <c r="I130" s="397"/>
      <c r="J130" s="164">
        <f>SUM(J126:J129)</f>
        <v>3417.48</v>
      </c>
      <c r="M130" s="1"/>
      <c r="N130" s="1"/>
      <c r="O130" s="1"/>
      <c r="P130" s="1"/>
      <c r="Q130" s="1"/>
      <c r="R130" s="1"/>
    </row>
    <row r="131" spans="2:18" x14ac:dyDescent="0.25">
      <c r="B131" s="137" t="s">
        <v>10</v>
      </c>
      <c r="C131" s="396" t="s">
        <v>122</v>
      </c>
      <c r="D131" s="396"/>
      <c r="E131" s="396"/>
      <c r="F131" s="396"/>
      <c r="G131" s="396"/>
      <c r="H131" s="396"/>
      <c r="I131" s="396"/>
      <c r="J131" s="163">
        <f>+J123</f>
        <v>780.61</v>
      </c>
      <c r="M131" s="1"/>
      <c r="N131" s="1"/>
      <c r="O131" s="1"/>
      <c r="P131" s="1"/>
      <c r="Q131" s="1"/>
      <c r="R131" s="1"/>
    </row>
    <row r="132" spans="2:18" x14ac:dyDescent="0.25">
      <c r="B132" s="204"/>
      <c r="C132" s="398" t="s">
        <v>134</v>
      </c>
      <c r="D132" s="398"/>
      <c r="E132" s="398"/>
      <c r="F132" s="398"/>
      <c r="G132" s="398"/>
      <c r="H132" s="398"/>
      <c r="I132" s="398"/>
      <c r="J132" s="165">
        <f>SUM(J130:J131)</f>
        <v>4198.09</v>
      </c>
      <c r="M132" s="1"/>
      <c r="N132" s="1"/>
      <c r="O132" s="1"/>
      <c r="P132" s="1"/>
      <c r="Q132" s="1"/>
      <c r="R132" s="1"/>
    </row>
    <row r="133" spans="2:18" x14ac:dyDescent="0.25">
      <c r="K133" s="210" t="e">
        <f ca="1">[1]!VExtensoFree(J133)</f>
        <v>#NAME?</v>
      </c>
    </row>
    <row r="140" spans="2:18" x14ac:dyDescent="0.25">
      <c r="B140" s="167"/>
      <c r="F140" s="167"/>
      <c r="G140" s="167"/>
      <c r="H140" s="167"/>
      <c r="I140" s="167"/>
      <c r="J140" s="167"/>
      <c r="K140" s="1"/>
      <c r="L140" s="1"/>
      <c r="M140" s="1"/>
      <c r="N140" s="1"/>
      <c r="O140" s="1"/>
      <c r="P140" s="1"/>
      <c r="Q140" s="1"/>
      <c r="R140" s="1"/>
    </row>
    <row r="141" spans="2:18" x14ac:dyDescent="0.25">
      <c r="B141" s="167"/>
      <c r="F141" s="167"/>
      <c r="G141" s="167"/>
      <c r="H141" s="167"/>
      <c r="I141" s="167"/>
      <c r="J141" s="167"/>
      <c r="K141" s="1"/>
      <c r="L141" s="1"/>
      <c r="M141" s="1"/>
      <c r="N141" s="1"/>
      <c r="O141" s="1"/>
      <c r="P141" s="1"/>
      <c r="Q141" s="1"/>
      <c r="R141" s="1"/>
    </row>
    <row r="142" spans="2:18" x14ac:dyDescent="0.25">
      <c r="B142" s="167"/>
      <c r="F142" s="167"/>
      <c r="G142" s="167"/>
      <c r="H142" s="167"/>
      <c r="I142" s="167"/>
      <c r="J142" s="167"/>
      <c r="K142" s="1"/>
      <c r="L142" s="1"/>
      <c r="M142" s="1"/>
      <c r="N142" s="1"/>
      <c r="O142" s="1"/>
      <c r="P142" s="1"/>
      <c r="Q142" s="1"/>
      <c r="R142" s="1"/>
    </row>
    <row r="143" spans="2:18" x14ac:dyDescent="0.25">
      <c r="B143" s="167"/>
      <c r="F143" s="167"/>
      <c r="G143" s="167"/>
      <c r="H143" s="167"/>
      <c r="I143" s="167"/>
      <c r="J143" s="167"/>
      <c r="K143" s="1"/>
      <c r="L143" s="1"/>
      <c r="M143" s="1"/>
      <c r="N143" s="1"/>
      <c r="O143" s="1"/>
      <c r="P143" s="1"/>
      <c r="Q143" s="1"/>
      <c r="R143" s="1"/>
    </row>
    <row r="144" spans="2:18" x14ac:dyDescent="0.25">
      <c r="B144" s="167"/>
      <c r="F144" s="167"/>
      <c r="G144" s="167"/>
      <c r="H144" s="167"/>
      <c r="I144" s="167"/>
      <c r="J144" s="167"/>
      <c r="K144" s="1"/>
      <c r="L144" s="1"/>
      <c r="M144" s="1"/>
      <c r="N144" s="1"/>
      <c r="O144" s="1"/>
      <c r="P144" s="1"/>
      <c r="Q144" s="1"/>
      <c r="R144" s="1"/>
    </row>
    <row r="145" spans="2:18" x14ac:dyDescent="0.25">
      <c r="B145" s="167"/>
      <c r="F145" s="167"/>
      <c r="G145" s="167"/>
      <c r="H145" s="167"/>
      <c r="I145" s="167"/>
      <c r="J145" s="167"/>
      <c r="K145" s="1"/>
      <c r="L145" s="1"/>
      <c r="M145" s="1"/>
      <c r="N145" s="1"/>
      <c r="O145" s="1"/>
      <c r="P145" s="1"/>
      <c r="Q145" s="1"/>
      <c r="R145" s="1"/>
    </row>
    <row r="146" spans="2:18" x14ac:dyDescent="0.25">
      <c r="B146" s="167"/>
      <c r="F146" s="167"/>
      <c r="G146" s="167"/>
      <c r="H146" s="167"/>
      <c r="I146" s="167"/>
      <c r="J146" s="167"/>
      <c r="K146" s="1"/>
      <c r="L146" s="1"/>
      <c r="M146" s="1"/>
      <c r="N146" s="1"/>
      <c r="O146" s="1"/>
      <c r="P146" s="1"/>
      <c r="Q146" s="1"/>
      <c r="R146" s="1"/>
    </row>
    <row r="147" spans="2:18" x14ac:dyDescent="0.25">
      <c r="B147" s="167"/>
      <c r="F147" s="167"/>
      <c r="G147" s="167"/>
      <c r="H147" s="167"/>
      <c r="I147" s="167"/>
      <c r="J147" s="167"/>
      <c r="K147" s="1"/>
      <c r="L147" s="1"/>
      <c r="M147" s="1"/>
      <c r="N147" s="1"/>
      <c r="O147" s="1"/>
      <c r="P147" s="1"/>
      <c r="Q147" s="1"/>
      <c r="R147" s="1"/>
    </row>
    <row r="148" spans="2:18" x14ac:dyDescent="0.25">
      <c r="B148" s="167"/>
      <c r="F148" s="167"/>
      <c r="G148" s="167"/>
      <c r="H148" s="167"/>
      <c r="I148" s="167"/>
      <c r="J148" s="167"/>
      <c r="K148" s="1"/>
      <c r="L148" s="1"/>
      <c r="M148" s="1"/>
      <c r="N148" s="1"/>
      <c r="O148" s="1"/>
      <c r="P148" s="1"/>
      <c r="Q148" s="1"/>
      <c r="R148" s="1"/>
    </row>
    <row r="149" spans="2:18" x14ac:dyDescent="0.25">
      <c r="B149" s="167"/>
      <c r="F149" s="167"/>
      <c r="G149" s="167"/>
      <c r="H149" s="167"/>
      <c r="I149" s="167"/>
      <c r="J149" s="167"/>
      <c r="K149" s="1"/>
      <c r="L149" s="1"/>
      <c r="M149" s="1"/>
      <c r="N149" s="1"/>
      <c r="O149" s="1"/>
      <c r="P149" s="1"/>
      <c r="Q149" s="1"/>
      <c r="R149" s="1"/>
    </row>
    <row r="150" spans="2:18" x14ac:dyDescent="0.25">
      <c r="B150" s="167"/>
      <c r="F150" s="167"/>
      <c r="G150" s="167"/>
      <c r="H150" s="167"/>
      <c r="I150" s="167"/>
      <c r="J150" s="167"/>
      <c r="K150" s="1"/>
      <c r="L150" s="1"/>
      <c r="M150" s="1"/>
      <c r="N150" s="1"/>
      <c r="O150" s="1"/>
      <c r="P150" s="1"/>
      <c r="Q150" s="1"/>
      <c r="R150" s="1"/>
    </row>
    <row r="151" spans="2:18" x14ac:dyDescent="0.25">
      <c r="B151" s="167"/>
      <c r="F151" s="167"/>
      <c r="G151" s="167"/>
      <c r="H151" s="167"/>
      <c r="I151" s="167"/>
      <c r="J151" s="167"/>
      <c r="K151" s="1"/>
      <c r="L151" s="1"/>
      <c r="M151" s="1"/>
      <c r="N151" s="1"/>
      <c r="O151" s="1"/>
      <c r="P151" s="1"/>
      <c r="Q151" s="1"/>
      <c r="R151" s="1"/>
    </row>
    <row r="152" spans="2:18" x14ac:dyDescent="0.25">
      <c r="B152" s="167"/>
      <c r="F152" s="167"/>
      <c r="G152" s="167"/>
      <c r="H152" s="167"/>
      <c r="I152" s="167"/>
      <c r="J152" s="167"/>
      <c r="K152" s="1"/>
      <c r="L152" s="1"/>
      <c r="M152" s="1"/>
      <c r="N152" s="1"/>
      <c r="O152" s="1"/>
      <c r="P152" s="1"/>
      <c r="Q152" s="1"/>
      <c r="R152" s="1"/>
    </row>
  </sheetData>
  <mergeCells count="210">
    <mergeCell ref="C129:I129"/>
    <mergeCell ref="C130:I130"/>
    <mergeCell ref="C131:I131"/>
    <mergeCell ref="C132:I132"/>
    <mergeCell ref="C123:H123"/>
    <mergeCell ref="B124:J124"/>
    <mergeCell ref="C125:I125"/>
    <mergeCell ref="C126:I126"/>
    <mergeCell ref="C127:I127"/>
    <mergeCell ref="C128:I128"/>
    <mergeCell ref="C117:H117"/>
    <mergeCell ref="C118:H118"/>
    <mergeCell ref="C119:H119"/>
    <mergeCell ref="C120:H120"/>
    <mergeCell ref="C121:H121"/>
    <mergeCell ref="C122:H122"/>
    <mergeCell ref="C111:H111"/>
    <mergeCell ref="C112:H112"/>
    <mergeCell ref="C113:H113"/>
    <mergeCell ref="B114:J114"/>
    <mergeCell ref="C115:H115"/>
    <mergeCell ref="C116:H116"/>
    <mergeCell ref="C105:H105"/>
    <mergeCell ref="B106:J106"/>
    <mergeCell ref="C107:H107"/>
    <mergeCell ref="C108:H108"/>
    <mergeCell ref="C109:H109"/>
    <mergeCell ref="C110:H110"/>
    <mergeCell ref="C102:H102"/>
    <mergeCell ref="B103:B104"/>
    <mergeCell ref="C103:H103"/>
    <mergeCell ref="I103:I104"/>
    <mergeCell ref="J103:J104"/>
    <mergeCell ref="C104:H104"/>
    <mergeCell ref="B100:B101"/>
    <mergeCell ref="C100:H100"/>
    <mergeCell ref="I100:I101"/>
    <mergeCell ref="J100:J101"/>
    <mergeCell ref="K100:P100"/>
    <mergeCell ref="C101:H101"/>
    <mergeCell ref="B98:B99"/>
    <mergeCell ref="C98:H98"/>
    <mergeCell ref="I98:I99"/>
    <mergeCell ref="J98:J99"/>
    <mergeCell ref="K98:P98"/>
    <mergeCell ref="C99:H99"/>
    <mergeCell ref="B96:B97"/>
    <mergeCell ref="C96:H96"/>
    <mergeCell ref="I96:I97"/>
    <mergeCell ref="J96:J97"/>
    <mergeCell ref="K96:P96"/>
    <mergeCell ref="C97:H97"/>
    <mergeCell ref="K92:P92"/>
    <mergeCell ref="C93:H93"/>
    <mergeCell ref="B94:B95"/>
    <mergeCell ref="C94:H94"/>
    <mergeCell ref="I94:I95"/>
    <mergeCell ref="J94:J95"/>
    <mergeCell ref="K94:P94"/>
    <mergeCell ref="C95:H95"/>
    <mergeCell ref="C89:H89"/>
    <mergeCell ref="B90:J90"/>
    <mergeCell ref="C91:H91"/>
    <mergeCell ref="B92:B93"/>
    <mergeCell ref="C92:H92"/>
    <mergeCell ref="I92:I93"/>
    <mergeCell ref="J92:J93"/>
    <mergeCell ref="B85:B86"/>
    <mergeCell ref="C85:H85"/>
    <mergeCell ref="I85:I86"/>
    <mergeCell ref="J85:J86"/>
    <mergeCell ref="C86:H86"/>
    <mergeCell ref="B87:B88"/>
    <mergeCell ref="C87:H87"/>
    <mergeCell ref="I87:I88"/>
    <mergeCell ref="J87:J88"/>
    <mergeCell ref="C88:H88"/>
    <mergeCell ref="B81:B82"/>
    <mergeCell ref="C81:H81"/>
    <mergeCell ref="I81:I82"/>
    <mergeCell ref="J81:J82"/>
    <mergeCell ref="C82:H82"/>
    <mergeCell ref="B83:B84"/>
    <mergeCell ref="C83:H83"/>
    <mergeCell ref="I83:I84"/>
    <mergeCell ref="J83:J84"/>
    <mergeCell ref="C84:H84"/>
    <mergeCell ref="B77:J77"/>
    <mergeCell ref="C78:H78"/>
    <mergeCell ref="B79:B80"/>
    <mergeCell ref="C79:H79"/>
    <mergeCell ref="I79:I80"/>
    <mergeCell ref="J79:J80"/>
    <mergeCell ref="C80:H80"/>
    <mergeCell ref="B74:B75"/>
    <mergeCell ref="C74:H74"/>
    <mergeCell ref="I74:I75"/>
    <mergeCell ref="J74:J75"/>
    <mergeCell ref="C75:H75"/>
    <mergeCell ref="C76:H76"/>
    <mergeCell ref="C69:H69"/>
    <mergeCell ref="B70:J70"/>
    <mergeCell ref="C71:H71"/>
    <mergeCell ref="B72:B73"/>
    <mergeCell ref="C72:H72"/>
    <mergeCell ref="I72:I73"/>
    <mergeCell ref="J72:J73"/>
    <mergeCell ref="C73:H73"/>
    <mergeCell ref="C66:H66"/>
    <mergeCell ref="B67:B68"/>
    <mergeCell ref="C67:H67"/>
    <mergeCell ref="I67:I68"/>
    <mergeCell ref="J67:J68"/>
    <mergeCell ref="C68:H68"/>
    <mergeCell ref="C63:H63"/>
    <mergeCell ref="B64:B65"/>
    <mergeCell ref="C64:H64"/>
    <mergeCell ref="I64:I65"/>
    <mergeCell ref="J64:J65"/>
    <mergeCell ref="C65:H65"/>
    <mergeCell ref="C59:H59"/>
    <mergeCell ref="K59:L59"/>
    <mergeCell ref="C60:H60"/>
    <mergeCell ref="K60:L60"/>
    <mergeCell ref="C61:H61"/>
    <mergeCell ref="B62:J62"/>
    <mergeCell ref="C56:H56"/>
    <mergeCell ref="K56:L56"/>
    <mergeCell ref="B57:B58"/>
    <mergeCell ref="C57:F58"/>
    <mergeCell ref="I57:I58"/>
    <mergeCell ref="J57:J58"/>
    <mergeCell ref="K57:L58"/>
    <mergeCell ref="C53:H53"/>
    <mergeCell ref="K53:L53"/>
    <mergeCell ref="C54:H54"/>
    <mergeCell ref="K54:L54"/>
    <mergeCell ref="C55:H55"/>
    <mergeCell ref="K55:L55"/>
    <mergeCell ref="B48:J48"/>
    <mergeCell ref="B49:J49"/>
    <mergeCell ref="C50:H50"/>
    <mergeCell ref="C51:H51"/>
    <mergeCell ref="K51:L51"/>
    <mergeCell ref="C52:H52"/>
    <mergeCell ref="K52:L52"/>
    <mergeCell ref="C42:I42"/>
    <mergeCell ref="C43:I43"/>
    <mergeCell ref="C44:I44"/>
    <mergeCell ref="C45:I45"/>
    <mergeCell ref="C46:I46"/>
    <mergeCell ref="B47:J47"/>
    <mergeCell ref="C37:I37"/>
    <mergeCell ref="K37:P37"/>
    <mergeCell ref="C38:I38"/>
    <mergeCell ref="B39:J39"/>
    <mergeCell ref="B40:J40"/>
    <mergeCell ref="C41:I41"/>
    <mergeCell ref="C34:I34"/>
    <mergeCell ref="K34:P34"/>
    <mergeCell ref="C35:I35"/>
    <mergeCell ref="K35:P35"/>
    <mergeCell ref="C36:I36"/>
    <mergeCell ref="K36:P36"/>
    <mergeCell ref="B30:B31"/>
    <mergeCell ref="C30:E30"/>
    <mergeCell ref="J30:J31"/>
    <mergeCell ref="K30:P31"/>
    <mergeCell ref="C31:E31"/>
    <mergeCell ref="B32:B33"/>
    <mergeCell ref="J32:J33"/>
    <mergeCell ref="K32:P33"/>
    <mergeCell ref="C23:D23"/>
    <mergeCell ref="C24:D24"/>
    <mergeCell ref="C26:D26"/>
    <mergeCell ref="C27:I27"/>
    <mergeCell ref="B28:J28"/>
    <mergeCell ref="C29:I29"/>
    <mergeCell ref="C19:H19"/>
    <mergeCell ref="I19:J19"/>
    <mergeCell ref="C20:F20"/>
    <mergeCell ref="I20:J20"/>
    <mergeCell ref="B21:J21"/>
    <mergeCell ref="C22:I22"/>
    <mergeCell ref="B15:J15"/>
    <mergeCell ref="B16:J16"/>
    <mergeCell ref="C17:H17"/>
    <mergeCell ref="I17:J17"/>
    <mergeCell ref="C18:F18"/>
    <mergeCell ref="I18:J18"/>
    <mergeCell ref="B14:F14"/>
    <mergeCell ref="G14:H14"/>
    <mergeCell ref="I14:J14"/>
    <mergeCell ref="B5:J5"/>
    <mergeCell ref="C6:I6"/>
    <mergeCell ref="C7:I7"/>
    <mergeCell ref="C8:I8"/>
    <mergeCell ref="C9:I9"/>
    <mergeCell ref="C10:I10"/>
    <mergeCell ref="B1:J1"/>
    <mergeCell ref="B2:J2"/>
    <mergeCell ref="B3:C3"/>
    <mergeCell ref="D3:J3"/>
    <mergeCell ref="B4:C4"/>
    <mergeCell ref="D4:J4"/>
    <mergeCell ref="C11:I11"/>
    <mergeCell ref="B12:J12"/>
    <mergeCell ref="B13:F13"/>
    <mergeCell ref="G13:H13"/>
    <mergeCell ref="I13:J13"/>
  </mergeCells>
  <dataValidations count="1">
    <dataValidation type="list" allowBlank="1" showInputMessage="1" showErrorMessage="1" sqref="J11">
      <formula1>"LUCRO REAL, LUCRO PRESUMIDO, SIMPLES"</formula1>
    </dataValidation>
  </dataValidations>
  <pageMargins left="0.25" right="0.25" top="0.75" bottom="0.75" header="0.3" footer="0.3"/>
  <pageSetup paperSize="9" scale="35" fitToHeight="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103" workbookViewId="0">
      <selection activeCell="J112" sqref="J112"/>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616</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f>K31</f>
        <v>0</v>
      </c>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1"/>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9.5000000000000001E-2</v>
      </c>
      <c r="K112" s="288">
        <f>K$109*$J112</f>
        <v>251.36</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0.09</v>
      </c>
      <c r="K113" s="288">
        <f t="shared" ref="K113:T113" si="50">(K109+K112)*$J113</f>
        <v>260.75</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247.95</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760.06</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3405.91</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7" priority="2">
      <formula>$J$97=""</formula>
    </cfRule>
  </conditionalFormatting>
  <conditionalFormatting sqref="J96">
    <cfRule type="expression" dxfId="6"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77"/>
  <sheetViews>
    <sheetView topLeftCell="A47" zoomScaleNormal="100" workbookViewId="0">
      <selection activeCell="N68" sqref="N68"/>
    </sheetView>
  </sheetViews>
  <sheetFormatPr defaultRowHeight="15" x14ac:dyDescent="0.25"/>
  <cols>
    <col min="2" max="2" width="12.7109375" customWidth="1"/>
    <col min="5" max="5" width="10.7109375" customWidth="1"/>
    <col min="6" max="6" width="14.5703125" bestFit="1" customWidth="1"/>
    <col min="7" max="7" width="11.7109375" customWidth="1"/>
    <col min="8" max="8" width="11.85546875" customWidth="1"/>
  </cols>
  <sheetData>
    <row r="1" spans="1:8" ht="18" x14ac:dyDescent="0.25">
      <c r="A1" s="371" t="s">
        <v>467</v>
      </c>
      <c r="B1" s="371"/>
      <c r="C1" s="371"/>
      <c r="D1" s="371"/>
      <c r="E1" s="371"/>
      <c r="F1" s="371"/>
      <c r="G1" s="371"/>
      <c r="H1" s="371"/>
    </row>
    <row r="2" spans="1:8" ht="15" customHeight="1" x14ac:dyDescent="0.25">
      <c r="A2" s="370" t="s">
        <v>468</v>
      </c>
      <c r="B2" s="370"/>
      <c r="C2" s="370"/>
      <c r="D2" s="370"/>
      <c r="E2" s="370"/>
      <c r="F2" s="370"/>
      <c r="G2" s="370"/>
      <c r="H2" s="370"/>
    </row>
    <row r="3" spans="1:8" ht="15" customHeight="1" x14ac:dyDescent="0.25">
      <c r="A3" s="370" t="s">
        <v>469</v>
      </c>
      <c r="B3" s="370"/>
      <c r="C3" s="370"/>
      <c r="D3" s="370"/>
      <c r="E3" s="370"/>
      <c r="F3" s="370"/>
      <c r="G3" s="370"/>
      <c r="H3" s="370"/>
    </row>
    <row r="4" spans="1:8" ht="15" customHeight="1" x14ac:dyDescent="0.25">
      <c r="A4" s="370" t="s">
        <v>470</v>
      </c>
      <c r="B4" s="370"/>
      <c r="C4" s="370"/>
      <c r="D4" s="370"/>
      <c r="E4" s="370"/>
      <c r="F4" s="370"/>
      <c r="G4" s="370"/>
      <c r="H4" s="370"/>
    </row>
    <row r="5" spans="1:8" x14ac:dyDescent="0.25">
      <c r="B5" s="234"/>
      <c r="C5" s="234"/>
      <c r="D5" s="234"/>
      <c r="E5" s="234"/>
      <c r="F5" s="234"/>
      <c r="G5" s="234"/>
      <c r="H5" s="234"/>
    </row>
    <row r="6" spans="1:8" ht="24" customHeight="1" x14ac:dyDescent="0.25">
      <c r="A6" s="372" t="s">
        <v>495</v>
      </c>
      <c r="B6" s="372"/>
      <c r="C6" s="372"/>
      <c r="D6" s="372"/>
      <c r="E6" s="372"/>
      <c r="F6" s="372"/>
      <c r="G6" s="372"/>
      <c r="H6" s="372"/>
    </row>
    <row r="7" spans="1:8" x14ac:dyDescent="0.25">
      <c r="B7" s="234"/>
      <c r="C7" s="234"/>
      <c r="D7" s="234"/>
      <c r="E7" s="234"/>
      <c r="F7" s="234"/>
      <c r="G7" s="234"/>
      <c r="H7" s="234"/>
    </row>
    <row r="8" spans="1:8" x14ac:dyDescent="0.25">
      <c r="A8" s="369"/>
      <c r="B8" s="373" t="s">
        <v>449</v>
      </c>
      <c r="C8" s="373"/>
      <c r="D8" s="374"/>
      <c r="E8" s="374"/>
      <c r="F8" s="375" t="s">
        <v>471</v>
      </c>
      <c r="G8" s="376"/>
      <c r="H8" s="376"/>
    </row>
    <row r="9" spans="1:8" x14ac:dyDescent="0.25">
      <c r="A9" s="369"/>
      <c r="B9" s="373" t="s">
        <v>450</v>
      </c>
      <c r="C9" s="373"/>
      <c r="D9" s="374"/>
      <c r="E9" s="374"/>
      <c r="F9" s="377" t="s">
        <v>472</v>
      </c>
      <c r="G9" s="377"/>
      <c r="H9" s="377"/>
    </row>
    <row r="10" spans="1:8" x14ac:dyDescent="0.25">
      <c r="A10" s="369"/>
      <c r="B10" s="235"/>
      <c r="C10" s="235"/>
      <c r="D10" s="235"/>
      <c r="E10" s="235"/>
      <c r="F10" s="236"/>
      <c r="G10" s="236"/>
      <c r="H10" s="236"/>
    </row>
    <row r="11" spans="1:8" ht="29.25" customHeight="1" x14ac:dyDescent="0.25">
      <c r="A11" s="369"/>
      <c r="B11" s="378" t="s">
        <v>505</v>
      </c>
      <c r="C11" s="378"/>
      <c r="D11" s="378"/>
      <c r="E11" s="378"/>
      <c r="F11" s="378"/>
      <c r="G11" s="378"/>
      <c r="H11" s="378"/>
    </row>
    <row r="12" spans="1:8" x14ac:dyDescent="0.25">
      <c r="A12" s="250"/>
      <c r="B12" s="361" t="s">
        <v>503</v>
      </c>
      <c r="C12" s="361"/>
      <c r="D12" s="361"/>
      <c r="E12" s="361"/>
      <c r="F12" s="361"/>
      <c r="G12" s="361"/>
      <c r="H12" s="361"/>
    </row>
    <row r="13" spans="1:8" x14ac:dyDescent="0.25">
      <c r="A13" s="362" t="s">
        <v>504</v>
      </c>
      <c r="B13" s="363" t="s">
        <v>451</v>
      </c>
      <c r="C13" s="364" t="s">
        <v>148</v>
      </c>
      <c r="D13" s="364"/>
      <c r="E13" s="365" t="s">
        <v>149</v>
      </c>
      <c r="F13" s="365"/>
      <c r="G13" s="365" t="s">
        <v>165</v>
      </c>
      <c r="H13" s="365"/>
    </row>
    <row r="14" spans="1:8" ht="36.75" customHeight="1" x14ac:dyDescent="0.25">
      <c r="A14" s="362"/>
      <c r="B14" s="363"/>
      <c r="C14" s="363" t="s">
        <v>452</v>
      </c>
      <c r="D14" s="363"/>
      <c r="E14" s="363" t="s">
        <v>453</v>
      </c>
      <c r="F14" s="363"/>
      <c r="G14" s="363" t="s">
        <v>454</v>
      </c>
      <c r="H14" s="363"/>
    </row>
    <row r="15" spans="1:8" x14ac:dyDescent="0.25">
      <c r="A15" s="362"/>
      <c r="B15" s="237" t="s">
        <v>455</v>
      </c>
      <c r="C15" s="366" t="s">
        <v>473</v>
      </c>
      <c r="D15" s="366"/>
      <c r="E15" s="367">
        <f>'SAO VICENTE'!K118</f>
        <v>3597.02</v>
      </c>
      <c r="F15" s="367"/>
      <c r="G15" s="368">
        <f>ROUND((1/800)*E15,2)</f>
        <v>4.5</v>
      </c>
      <c r="H15" s="368"/>
    </row>
    <row r="16" spans="1:8" x14ac:dyDescent="0.25">
      <c r="A16" s="362"/>
      <c r="B16" s="359" t="s">
        <v>137</v>
      </c>
      <c r="C16" s="359"/>
      <c r="D16" s="359"/>
      <c r="E16" s="359"/>
      <c r="F16" s="359"/>
      <c r="G16" s="360">
        <f>G15</f>
        <v>4.5</v>
      </c>
      <c r="H16" s="360"/>
    </row>
    <row r="17" spans="1:8" hidden="1" x14ac:dyDescent="0.25">
      <c r="A17" s="362"/>
      <c r="B17" s="361" t="s">
        <v>490</v>
      </c>
      <c r="C17" s="361"/>
      <c r="D17" s="361"/>
      <c r="E17" s="361"/>
      <c r="F17" s="361"/>
      <c r="G17" s="361"/>
      <c r="H17" s="361"/>
    </row>
    <row r="18" spans="1:8" hidden="1" x14ac:dyDescent="0.25">
      <c r="A18" s="362">
        <v>18</v>
      </c>
      <c r="B18" s="363" t="s">
        <v>451</v>
      </c>
      <c r="C18" s="364" t="s">
        <v>148</v>
      </c>
      <c r="D18" s="364"/>
      <c r="E18" s="365" t="s">
        <v>149</v>
      </c>
      <c r="F18" s="365"/>
      <c r="G18" s="365" t="s">
        <v>165</v>
      </c>
      <c r="H18" s="365"/>
    </row>
    <row r="19" spans="1:8" ht="36.75" hidden="1" customHeight="1" x14ac:dyDescent="0.25">
      <c r="A19" s="362"/>
      <c r="B19" s="363"/>
      <c r="C19" s="363" t="s">
        <v>452</v>
      </c>
      <c r="D19" s="363"/>
      <c r="E19" s="363" t="s">
        <v>453</v>
      </c>
      <c r="F19" s="363"/>
      <c r="G19" s="363" t="s">
        <v>454</v>
      </c>
      <c r="H19" s="363"/>
    </row>
    <row r="20" spans="1:8" hidden="1" x14ac:dyDescent="0.25">
      <c r="A20" s="362"/>
      <c r="B20" s="237" t="s">
        <v>455</v>
      </c>
      <c r="C20" s="366" t="s">
        <v>482</v>
      </c>
      <c r="D20" s="366"/>
      <c r="E20" s="367" t="e">
        <f>#REF!</f>
        <v>#REF!</v>
      </c>
      <c r="F20" s="367"/>
      <c r="G20" s="368" t="e">
        <f>ROUND((1/360)*E20,2)</f>
        <v>#REF!</v>
      </c>
      <c r="H20" s="368"/>
    </row>
    <row r="21" spans="1:8" hidden="1" x14ac:dyDescent="0.25">
      <c r="A21" s="362"/>
      <c r="B21" s="359" t="s">
        <v>137</v>
      </c>
      <c r="C21" s="359"/>
      <c r="D21" s="359"/>
      <c r="E21" s="359"/>
      <c r="F21" s="359"/>
      <c r="G21" s="360" t="e">
        <f>G20</f>
        <v>#REF!</v>
      </c>
      <c r="H21" s="360"/>
    </row>
    <row r="22" spans="1:8" hidden="1" x14ac:dyDescent="0.25">
      <c r="A22" s="362"/>
      <c r="B22" s="361" t="s">
        <v>492</v>
      </c>
      <c r="C22" s="361"/>
      <c r="D22" s="361"/>
      <c r="E22" s="361"/>
      <c r="F22" s="361"/>
      <c r="G22" s="361"/>
      <c r="H22" s="361"/>
    </row>
    <row r="23" spans="1:8" hidden="1" x14ac:dyDescent="0.25">
      <c r="A23" s="362">
        <v>19</v>
      </c>
      <c r="B23" s="363" t="s">
        <v>451</v>
      </c>
      <c r="C23" s="364" t="s">
        <v>148</v>
      </c>
      <c r="D23" s="364"/>
      <c r="E23" s="365" t="s">
        <v>149</v>
      </c>
      <c r="F23" s="365"/>
      <c r="G23" s="365" t="s">
        <v>165</v>
      </c>
      <c r="H23" s="365"/>
    </row>
    <row r="24" spans="1:8" ht="36.75" hidden="1" customHeight="1" x14ac:dyDescent="0.25">
      <c r="A24" s="362"/>
      <c r="B24" s="363"/>
      <c r="C24" s="363" t="s">
        <v>452</v>
      </c>
      <c r="D24" s="363"/>
      <c r="E24" s="363" t="s">
        <v>453</v>
      </c>
      <c r="F24" s="363"/>
      <c r="G24" s="363" t="s">
        <v>454</v>
      </c>
      <c r="H24" s="363"/>
    </row>
    <row r="25" spans="1:8" hidden="1" x14ac:dyDescent="0.25">
      <c r="A25" s="362"/>
      <c r="B25" s="237" t="s">
        <v>455</v>
      </c>
      <c r="C25" s="366" t="s">
        <v>483</v>
      </c>
      <c r="D25" s="366"/>
      <c r="E25" s="367" t="e">
        <f>#REF!</f>
        <v>#REF!</v>
      </c>
      <c r="F25" s="367"/>
      <c r="G25" s="368" t="e">
        <f>ROUND((1/1500)*E25,2)</f>
        <v>#REF!</v>
      </c>
      <c r="H25" s="368"/>
    </row>
    <row r="26" spans="1:8" hidden="1" x14ac:dyDescent="0.25">
      <c r="A26" s="362"/>
      <c r="B26" s="359" t="s">
        <v>137</v>
      </c>
      <c r="C26" s="359"/>
      <c r="D26" s="359"/>
      <c r="E26" s="359"/>
      <c r="F26" s="359"/>
      <c r="G26" s="360" t="e">
        <f>G25</f>
        <v>#REF!</v>
      </c>
      <c r="H26" s="360"/>
    </row>
    <row r="27" spans="1:8" hidden="1" x14ac:dyDescent="0.25">
      <c r="A27" s="362"/>
      <c r="B27" s="361" t="s">
        <v>493</v>
      </c>
      <c r="C27" s="361"/>
      <c r="D27" s="361"/>
      <c r="E27" s="361"/>
      <c r="F27" s="361"/>
      <c r="G27" s="361"/>
      <c r="H27" s="361"/>
    </row>
    <row r="28" spans="1:8" hidden="1" x14ac:dyDescent="0.25">
      <c r="A28" s="362">
        <v>20</v>
      </c>
      <c r="B28" s="363" t="s">
        <v>451</v>
      </c>
      <c r="C28" s="364" t="s">
        <v>148</v>
      </c>
      <c r="D28" s="364"/>
      <c r="E28" s="365" t="s">
        <v>149</v>
      </c>
      <c r="F28" s="365"/>
      <c r="G28" s="365" t="s">
        <v>165</v>
      </c>
      <c r="H28" s="365"/>
    </row>
    <row r="29" spans="1:8" ht="36.75" hidden="1" customHeight="1" x14ac:dyDescent="0.25">
      <c r="A29" s="362"/>
      <c r="B29" s="363"/>
      <c r="C29" s="363" t="s">
        <v>452</v>
      </c>
      <c r="D29" s="363"/>
      <c r="E29" s="363" t="s">
        <v>453</v>
      </c>
      <c r="F29" s="363"/>
      <c r="G29" s="363" t="s">
        <v>454</v>
      </c>
      <c r="H29" s="363"/>
    </row>
    <row r="30" spans="1:8" hidden="1" x14ac:dyDescent="0.25">
      <c r="A30" s="362"/>
      <c r="B30" s="237" t="s">
        <v>455</v>
      </c>
      <c r="C30" s="366" t="s">
        <v>501</v>
      </c>
      <c r="D30" s="366"/>
      <c r="E30" s="367" t="e">
        <f>#REF!</f>
        <v>#REF!</v>
      </c>
      <c r="F30" s="367"/>
      <c r="G30" s="368" t="e">
        <f>ROUND((1/1000)*E30,2)</f>
        <v>#REF!</v>
      </c>
      <c r="H30" s="368"/>
    </row>
    <row r="31" spans="1:8" hidden="1" x14ac:dyDescent="0.25">
      <c r="A31" s="362"/>
      <c r="B31" s="359" t="s">
        <v>137</v>
      </c>
      <c r="C31" s="359"/>
      <c r="D31" s="359"/>
      <c r="E31" s="359"/>
      <c r="F31" s="359"/>
      <c r="G31" s="360" t="e">
        <f>G30</f>
        <v>#REF!</v>
      </c>
      <c r="H31" s="360"/>
    </row>
    <row r="32" spans="1:8" hidden="1" x14ac:dyDescent="0.25">
      <c r="A32" s="362"/>
      <c r="B32" s="361" t="s">
        <v>494</v>
      </c>
      <c r="C32" s="361"/>
      <c r="D32" s="361"/>
      <c r="E32" s="361"/>
      <c r="F32" s="361"/>
      <c r="G32" s="361"/>
      <c r="H32" s="361"/>
    </row>
    <row r="33" spans="1:8" hidden="1" x14ac:dyDescent="0.25">
      <c r="A33" s="362">
        <v>21</v>
      </c>
      <c r="B33" s="363" t="s">
        <v>451</v>
      </c>
      <c r="C33" s="364" t="s">
        <v>148</v>
      </c>
      <c r="D33" s="364"/>
      <c r="E33" s="365" t="s">
        <v>149</v>
      </c>
      <c r="F33" s="365"/>
      <c r="G33" s="365" t="s">
        <v>165</v>
      </c>
      <c r="H33" s="365"/>
    </row>
    <row r="34" spans="1:8" ht="36.75" hidden="1" customHeight="1" x14ac:dyDescent="0.25">
      <c r="A34" s="362"/>
      <c r="B34" s="363"/>
      <c r="C34" s="363" t="s">
        <v>452</v>
      </c>
      <c r="D34" s="363"/>
      <c r="E34" s="363" t="s">
        <v>453</v>
      </c>
      <c r="F34" s="363"/>
      <c r="G34" s="363" t="s">
        <v>454</v>
      </c>
      <c r="H34" s="363"/>
    </row>
    <row r="35" spans="1:8" hidden="1" x14ac:dyDescent="0.25">
      <c r="A35" s="362"/>
      <c r="B35" s="237" t="s">
        <v>455</v>
      </c>
      <c r="C35" s="366" t="s">
        <v>485</v>
      </c>
      <c r="D35" s="366"/>
      <c r="E35" s="367">
        <f>'GRUPO 03 Insal-'!J132</f>
        <v>4198.09</v>
      </c>
      <c r="F35" s="367"/>
      <c r="G35" s="368">
        <f>ROUND((1/200)*E35,2)</f>
        <v>20.99</v>
      </c>
      <c r="H35" s="368"/>
    </row>
    <row r="36" spans="1:8" hidden="1" x14ac:dyDescent="0.25">
      <c r="A36" s="362">
        <v>22</v>
      </c>
      <c r="B36" s="359" t="s">
        <v>137</v>
      </c>
      <c r="C36" s="359"/>
      <c r="D36" s="359"/>
      <c r="E36" s="359"/>
      <c r="F36" s="359"/>
      <c r="G36" s="360">
        <f>G35</f>
        <v>20.99</v>
      </c>
      <c r="H36" s="360"/>
    </row>
    <row r="37" spans="1:8" hidden="1" x14ac:dyDescent="0.25">
      <c r="A37" s="362"/>
      <c r="B37" s="361" t="s">
        <v>494</v>
      </c>
      <c r="C37" s="361"/>
      <c r="D37" s="361"/>
      <c r="E37" s="361"/>
      <c r="F37" s="361"/>
      <c r="G37" s="361"/>
      <c r="H37" s="361"/>
    </row>
    <row r="38" spans="1:8" hidden="1" x14ac:dyDescent="0.25">
      <c r="A38" s="362"/>
      <c r="B38" s="363" t="s">
        <v>451</v>
      </c>
      <c r="C38" s="364" t="s">
        <v>148</v>
      </c>
      <c r="D38" s="364"/>
      <c r="E38" s="365" t="s">
        <v>149</v>
      </c>
      <c r="F38" s="365"/>
      <c r="G38" s="365" t="s">
        <v>165</v>
      </c>
      <c r="H38" s="365"/>
    </row>
    <row r="39" spans="1:8" ht="36.75" hidden="1" customHeight="1" x14ac:dyDescent="0.25">
      <c r="A39" s="362"/>
      <c r="B39" s="363"/>
      <c r="C39" s="363" t="s">
        <v>452</v>
      </c>
      <c r="D39" s="363"/>
      <c r="E39" s="363" t="s">
        <v>453</v>
      </c>
      <c r="F39" s="363"/>
      <c r="G39" s="363" t="s">
        <v>454</v>
      </c>
      <c r="H39" s="363"/>
    </row>
    <row r="40" spans="1:8" hidden="1" x14ac:dyDescent="0.25">
      <c r="A40" s="362"/>
      <c r="B40" s="237" t="s">
        <v>455</v>
      </c>
      <c r="C40" s="366" t="s">
        <v>482</v>
      </c>
      <c r="D40" s="366"/>
      <c r="E40" s="367" t="e">
        <f>#REF!</f>
        <v>#REF!</v>
      </c>
      <c r="F40" s="367"/>
      <c r="G40" s="368" t="e">
        <f>ROUND((1/3600)*E40,2)</f>
        <v>#REF!</v>
      </c>
      <c r="H40" s="368"/>
    </row>
    <row r="41" spans="1:8" hidden="1" x14ac:dyDescent="0.25">
      <c r="A41" s="362"/>
      <c r="B41" s="359" t="s">
        <v>137</v>
      </c>
      <c r="C41" s="359"/>
      <c r="D41" s="359"/>
      <c r="E41" s="359"/>
      <c r="F41" s="359"/>
      <c r="G41" s="360" t="e">
        <f>G40</f>
        <v>#REF!</v>
      </c>
      <c r="H41" s="360"/>
    </row>
    <row r="42" spans="1:8" hidden="1" x14ac:dyDescent="0.25">
      <c r="A42" s="362"/>
      <c r="B42" s="361" t="s">
        <v>479</v>
      </c>
      <c r="C42" s="361"/>
      <c r="D42" s="361"/>
      <c r="E42" s="361"/>
      <c r="F42" s="361"/>
      <c r="G42" s="361"/>
      <c r="H42" s="361"/>
    </row>
    <row r="43" spans="1:8" hidden="1" x14ac:dyDescent="0.25">
      <c r="A43" s="362">
        <v>23</v>
      </c>
      <c r="B43" s="363" t="s">
        <v>451</v>
      </c>
      <c r="C43" s="364" t="s">
        <v>148</v>
      </c>
      <c r="D43" s="364"/>
      <c r="E43" s="365" t="s">
        <v>149</v>
      </c>
      <c r="F43" s="365"/>
      <c r="G43" s="365" t="s">
        <v>165</v>
      </c>
      <c r="H43" s="365"/>
    </row>
    <row r="44" spans="1:8" ht="36.75" hidden="1" customHeight="1" x14ac:dyDescent="0.25">
      <c r="A44" s="362"/>
      <c r="B44" s="363"/>
      <c r="C44" s="363" t="s">
        <v>452</v>
      </c>
      <c r="D44" s="363"/>
      <c r="E44" s="363" t="s">
        <v>453</v>
      </c>
      <c r="F44" s="363"/>
      <c r="G44" s="363" t="s">
        <v>454</v>
      </c>
      <c r="H44" s="363"/>
    </row>
    <row r="45" spans="1:8" hidden="1" x14ac:dyDescent="0.25">
      <c r="A45" s="362"/>
      <c r="B45" s="237" t="s">
        <v>455</v>
      </c>
      <c r="C45" s="366" t="s">
        <v>486</v>
      </c>
      <c r="D45" s="366"/>
      <c r="E45" s="367" t="e">
        <f>#REF!</f>
        <v>#REF!</v>
      </c>
      <c r="F45" s="367"/>
      <c r="G45" s="368" t="e">
        <f>ROUND((1/6000)*E45,2)</f>
        <v>#REF!</v>
      </c>
      <c r="H45" s="368"/>
    </row>
    <row r="46" spans="1:8" hidden="1" x14ac:dyDescent="0.25">
      <c r="A46" s="362"/>
      <c r="B46" s="359" t="s">
        <v>137</v>
      </c>
      <c r="C46" s="359"/>
      <c r="D46" s="359"/>
      <c r="E46" s="359"/>
      <c r="F46" s="359"/>
      <c r="G46" s="360" t="e">
        <f>G45</f>
        <v>#REF!</v>
      </c>
      <c r="H46" s="360"/>
    </row>
    <row r="47" spans="1:8" x14ac:dyDescent="0.25">
      <c r="A47" s="362"/>
      <c r="B47" s="379" t="s">
        <v>480</v>
      </c>
      <c r="C47" s="379"/>
      <c r="D47" s="379"/>
      <c r="E47" s="379"/>
      <c r="F47" s="379"/>
      <c r="G47" s="379"/>
      <c r="H47" s="379"/>
    </row>
    <row r="48" spans="1:8" x14ac:dyDescent="0.25">
      <c r="A48" s="362">
        <v>24</v>
      </c>
      <c r="B48" s="363" t="s">
        <v>451</v>
      </c>
      <c r="C48" s="238" t="s">
        <v>148</v>
      </c>
      <c r="D48" s="238" t="s">
        <v>149</v>
      </c>
      <c r="E48" s="238" t="s">
        <v>165</v>
      </c>
      <c r="F48" s="238" t="s">
        <v>166</v>
      </c>
      <c r="G48" s="238" t="s">
        <v>167</v>
      </c>
      <c r="H48" s="238" t="s">
        <v>456</v>
      </c>
    </row>
    <row r="49" spans="1:8" ht="48" x14ac:dyDescent="0.25">
      <c r="A49" s="362"/>
      <c r="B49" s="363"/>
      <c r="C49" s="239" t="s">
        <v>457</v>
      </c>
      <c r="D49" s="239" t="s">
        <v>458</v>
      </c>
      <c r="E49" s="239" t="s">
        <v>459</v>
      </c>
      <c r="F49" s="239" t="s">
        <v>460</v>
      </c>
      <c r="G49" s="239" t="s">
        <v>461</v>
      </c>
      <c r="H49" s="239" t="s">
        <v>462</v>
      </c>
    </row>
    <row r="50" spans="1:8" x14ac:dyDescent="0.25">
      <c r="A50" s="362"/>
      <c r="B50" s="237" t="s">
        <v>455</v>
      </c>
      <c r="C50" s="240" t="s">
        <v>514</v>
      </c>
      <c r="D50" s="240" t="s">
        <v>463</v>
      </c>
      <c r="E50" s="240" t="s">
        <v>464</v>
      </c>
      <c r="F50" s="241">
        <f>ROUND((1/145)*16*(1/191.4),6)</f>
        <v>5.7700000000000004E-4</v>
      </c>
      <c r="G50" s="235">
        <f>'SAO VICENTE EXT'!K118</f>
        <v>3647.06</v>
      </c>
      <c r="H50" s="242">
        <f>ROUND(F50*G50,2)</f>
        <v>2.1</v>
      </c>
    </row>
    <row r="51" spans="1:8" x14ac:dyDescent="0.25">
      <c r="A51" s="362"/>
      <c r="B51" s="359" t="s">
        <v>137</v>
      </c>
      <c r="C51" s="359"/>
      <c r="D51" s="359"/>
      <c r="E51" s="359"/>
      <c r="F51" s="359"/>
      <c r="G51" s="359"/>
      <c r="H51" s="243">
        <f>SUM(H50:H50)</f>
        <v>2.1</v>
      </c>
    </row>
    <row r="52" spans="1:8" x14ac:dyDescent="0.25">
      <c r="A52" s="362"/>
      <c r="B52" s="379" t="s">
        <v>481</v>
      </c>
      <c r="C52" s="379"/>
      <c r="D52" s="379"/>
      <c r="E52" s="379"/>
      <c r="F52" s="379"/>
      <c r="G52" s="379"/>
      <c r="H52" s="379"/>
    </row>
    <row r="53" spans="1:8" x14ac:dyDescent="0.25">
      <c r="A53" s="362">
        <v>25</v>
      </c>
      <c r="B53" s="363" t="s">
        <v>451</v>
      </c>
      <c r="C53" s="238" t="s">
        <v>148</v>
      </c>
      <c r="D53" s="238" t="s">
        <v>149</v>
      </c>
      <c r="E53" s="238" t="s">
        <v>165</v>
      </c>
      <c r="F53" s="238" t="s">
        <v>166</v>
      </c>
      <c r="G53" s="238" t="s">
        <v>167</v>
      </c>
      <c r="H53" s="238" t="s">
        <v>456</v>
      </c>
    </row>
    <row r="54" spans="1:8" ht="48" x14ac:dyDescent="0.25">
      <c r="A54" s="362"/>
      <c r="B54" s="363"/>
      <c r="C54" s="239" t="s">
        <v>457</v>
      </c>
      <c r="D54" s="239" t="s">
        <v>458</v>
      </c>
      <c r="E54" s="239" t="s">
        <v>459</v>
      </c>
      <c r="F54" s="239" t="s">
        <v>460</v>
      </c>
      <c r="G54" s="239" t="s">
        <v>461</v>
      </c>
      <c r="H54" s="239" t="s">
        <v>462</v>
      </c>
    </row>
    <row r="55" spans="1:8" x14ac:dyDescent="0.25">
      <c r="A55" s="362"/>
      <c r="B55" s="237" t="s">
        <v>455</v>
      </c>
      <c r="C55" s="240" t="s">
        <v>487</v>
      </c>
      <c r="D55" s="240" t="s">
        <v>463</v>
      </c>
      <c r="E55" s="240" t="s">
        <v>464</v>
      </c>
      <c r="F55" s="241">
        <f>ROUND((1/275)*16*(1/191.4),6)</f>
        <v>3.0400000000000002E-4</v>
      </c>
      <c r="G55" s="235">
        <f>'SAO VICENTE ESQ'!K118</f>
        <v>3630.33</v>
      </c>
      <c r="H55" s="242">
        <f>ROUND(F55*G55,2)</f>
        <v>1.1000000000000001</v>
      </c>
    </row>
    <row r="56" spans="1:8" x14ac:dyDescent="0.25">
      <c r="A56" s="251"/>
      <c r="B56" s="359" t="s">
        <v>137</v>
      </c>
      <c r="C56" s="359"/>
      <c r="D56" s="359"/>
      <c r="E56" s="359"/>
      <c r="F56" s="359"/>
      <c r="G56" s="359"/>
      <c r="H56" s="243">
        <f>SUM(H55:H55)</f>
        <v>1.1000000000000001</v>
      </c>
    </row>
    <row r="57" spans="1:8" x14ac:dyDescent="0.25">
      <c r="A57" s="252"/>
      <c r="B57" s="560"/>
      <c r="C57" s="560"/>
      <c r="D57" s="560"/>
      <c r="E57" s="560"/>
      <c r="F57" s="560"/>
      <c r="G57" s="560"/>
      <c r="H57" s="560"/>
    </row>
    <row r="58" spans="1:8" x14ac:dyDescent="0.25">
      <c r="A58" s="233" t="s">
        <v>298</v>
      </c>
      <c r="B58" s="387" t="s">
        <v>508</v>
      </c>
      <c r="C58" s="387"/>
      <c r="D58" s="387"/>
      <c r="E58" s="387"/>
      <c r="F58" s="387"/>
      <c r="G58" s="387"/>
      <c r="H58" s="387"/>
    </row>
    <row r="59" spans="1:8" x14ac:dyDescent="0.25">
      <c r="A59" s="249">
        <v>16</v>
      </c>
      <c r="B59" s="390" t="s">
        <v>476</v>
      </c>
      <c r="C59" s="383"/>
      <c r="D59" s="384"/>
      <c r="E59" s="254">
        <f>G16</f>
        <v>4.5</v>
      </c>
      <c r="F59" s="245">
        <v>125</v>
      </c>
      <c r="G59" s="391">
        <f t="shared" ref="G59:G68" si="0">E59*F59</f>
        <v>562.5</v>
      </c>
      <c r="H59" s="392"/>
    </row>
    <row r="60" spans="1:8" ht="15.75" x14ac:dyDescent="0.25">
      <c r="A60" s="249">
        <v>17</v>
      </c>
      <c r="B60" s="382" t="s">
        <v>489</v>
      </c>
      <c r="C60" s="383"/>
      <c r="D60" s="384"/>
      <c r="E60" s="254">
        <f>G16</f>
        <v>4.5</v>
      </c>
      <c r="F60" s="245">
        <v>6733</v>
      </c>
      <c r="G60" s="359">
        <f t="shared" si="0"/>
        <v>30298.5</v>
      </c>
      <c r="H60" s="385"/>
    </row>
    <row r="61" spans="1:8" ht="15.75" x14ac:dyDescent="0.25">
      <c r="A61" s="249">
        <v>18</v>
      </c>
      <c r="B61" s="382" t="s">
        <v>491</v>
      </c>
      <c r="C61" s="383"/>
      <c r="D61" s="384"/>
      <c r="E61" s="254">
        <f>G15</f>
        <v>4.5</v>
      </c>
      <c r="F61" s="245">
        <v>1216</v>
      </c>
      <c r="G61" s="359">
        <f t="shared" si="0"/>
        <v>5472</v>
      </c>
      <c r="H61" s="385"/>
    </row>
    <row r="62" spans="1:8" ht="27.75" customHeight="1" x14ac:dyDescent="0.25">
      <c r="A62" s="249">
        <v>19</v>
      </c>
      <c r="B62" s="382" t="s">
        <v>477</v>
      </c>
      <c r="C62" s="388"/>
      <c r="D62" s="389"/>
      <c r="E62" s="254">
        <f>G15</f>
        <v>4.5</v>
      </c>
      <c r="F62" s="245">
        <v>264</v>
      </c>
      <c r="G62" s="359">
        <f t="shared" si="0"/>
        <v>1188</v>
      </c>
      <c r="H62" s="385"/>
    </row>
    <row r="63" spans="1:8" ht="27" customHeight="1" x14ac:dyDescent="0.25">
      <c r="A63" s="249">
        <v>20</v>
      </c>
      <c r="B63" s="382" t="s">
        <v>478</v>
      </c>
      <c r="C63" s="383"/>
      <c r="D63" s="384"/>
      <c r="E63" s="254">
        <f>G15</f>
        <v>4.5</v>
      </c>
      <c r="F63" s="245">
        <v>1147</v>
      </c>
      <c r="G63" s="359">
        <f t="shared" ref="G63:G65" si="1">E63*F63</f>
        <v>5161.5</v>
      </c>
      <c r="H63" s="385"/>
    </row>
    <row r="64" spans="1:8" ht="28.5" customHeight="1" x14ac:dyDescent="0.25">
      <c r="A64" s="249">
        <v>21</v>
      </c>
      <c r="B64" s="382" t="s">
        <v>479</v>
      </c>
      <c r="C64" s="383"/>
      <c r="D64" s="384"/>
      <c r="E64" s="254">
        <f>G15</f>
        <v>4.5</v>
      </c>
      <c r="F64" s="245">
        <v>610</v>
      </c>
      <c r="G64" s="359">
        <f t="shared" si="1"/>
        <v>2745</v>
      </c>
      <c r="H64" s="385"/>
    </row>
    <row r="65" spans="1:8" ht="25.5" customHeight="1" x14ac:dyDescent="0.25">
      <c r="A65" s="249">
        <v>22</v>
      </c>
      <c r="B65" s="382" t="s">
        <v>480</v>
      </c>
      <c r="C65" s="383"/>
      <c r="D65" s="384"/>
      <c r="E65" s="254">
        <f>H51</f>
        <v>2.1</v>
      </c>
      <c r="F65" s="245">
        <v>3188</v>
      </c>
      <c r="G65" s="359">
        <f t="shared" si="1"/>
        <v>6694.8</v>
      </c>
      <c r="H65" s="385"/>
    </row>
    <row r="66" spans="1:8" ht="27" customHeight="1" x14ac:dyDescent="0.25">
      <c r="A66" s="249">
        <v>23</v>
      </c>
      <c r="B66" s="382" t="s">
        <v>478</v>
      </c>
      <c r="C66" s="383"/>
      <c r="D66" s="384"/>
      <c r="E66" s="254">
        <f>H56</f>
        <v>1.1000000000000001</v>
      </c>
      <c r="F66" s="245">
        <v>879</v>
      </c>
      <c r="G66" s="359">
        <f t="shared" si="0"/>
        <v>966.9</v>
      </c>
      <c r="H66" s="385"/>
    </row>
    <row r="67" spans="1:8" ht="38.25" customHeight="1" x14ac:dyDescent="0.25">
      <c r="A67" s="249">
        <v>24</v>
      </c>
      <c r="B67" s="382" t="s">
        <v>479</v>
      </c>
      <c r="C67" s="383"/>
      <c r="D67" s="384"/>
      <c r="E67" s="254">
        <f>H56</f>
        <v>1.1000000000000001</v>
      </c>
      <c r="F67" s="245">
        <v>879</v>
      </c>
      <c r="G67" s="359">
        <f t="shared" si="0"/>
        <v>966.9</v>
      </c>
      <c r="H67" s="385"/>
    </row>
    <row r="68" spans="1:8" ht="25.5" customHeight="1" x14ac:dyDescent="0.25">
      <c r="A68" s="249">
        <v>25</v>
      </c>
      <c r="B68" s="382" t="s">
        <v>480</v>
      </c>
      <c r="C68" s="383"/>
      <c r="D68" s="384"/>
      <c r="E68" s="254">
        <f>G15</f>
        <v>4.5</v>
      </c>
      <c r="F68" s="245">
        <v>57</v>
      </c>
      <c r="G68" s="359">
        <f t="shared" si="0"/>
        <v>256.5</v>
      </c>
      <c r="H68" s="385"/>
    </row>
    <row r="69" spans="1:8" x14ac:dyDescent="0.25">
      <c r="A69" s="393" t="s">
        <v>465</v>
      </c>
      <c r="B69" s="393"/>
      <c r="C69" s="393"/>
      <c r="D69" s="393"/>
      <c r="E69" s="393"/>
      <c r="F69" s="393"/>
      <c r="G69" s="386">
        <f>SUM(G59:H68)</f>
        <v>54312.6</v>
      </c>
      <c r="H69" s="386"/>
    </row>
    <row r="70" spans="1:8" x14ac:dyDescent="0.25">
      <c r="A70" s="369"/>
      <c r="B70" s="369"/>
      <c r="C70" s="369"/>
      <c r="D70" s="369"/>
      <c r="E70" s="369"/>
      <c r="F70" s="369"/>
      <c r="G70" s="369"/>
      <c r="H70" s="369"/>
    </row>
    <row r="71" spans="1:8" x14ac:dyDescent="0.25">
      <c r="A71" s="393" t="s">
        <v>466</v>
      </c>
      <c r="B71" s="394"/>
      <c r="C71" s="394"/>
      <c r="D71" s="394"/>
      <c r="E71" s="394"/>
      <c r="F71" s="394"/>
      <c r="G71" s="395">
        <f>G69*12</f>
        <v>651751.19999999995</v>
      </c>
      <c r="H71" s="395"/>
    </row>
    <row r="72" spans="1:8" x14ac:dyDescent="0.25">
      <c r="B72" s="246"/>
      <c r="C72" s="246"/>
      <c r="D72" s="247"/>
      <c r="E72" s="247"/>
      <c r="F72" s="247"/>
      <c r="G72" s="248"/>
      <c r="H72" s="247"/>
    </row>
    <row r="73" spans="1:8" x14ac:dyDescent="0.25">
      <c r="B73" s="381" t="s">
        <v>496</v>
      </c>
      <c r="C73" s="381"/>
      <c r="D73" s="381"/>
      <c r="E73" s="381"/>
      <c r="F73" s="381"/>
      <c r="G73" s="381"/>
      <c r="H73" s="381"/>
    </row>
    <row r="74" spans="1:8" x14ac:dyDescent="0.25">
      <c r="B74" s="246"/>
      <c r="C74" s="246"/>
      <c r="D74" s="247"/>
      <c r="E74" s="247"/>
      <c r="F74" s="247"/>
      <c r="G74" s="248"/>
      <c r="H74" s="247"/>
    </row>
    <row r="75" spans="1:8" x14ac:dyDescent="0.25">
      <c r="B75" s="246"/>
      <c r="C75" s="246"/>
      <c r="D75" s="247"/>
      <c r="E75" s="247"/>
      <c r="F75" s="247"/>
      <c r="G75" s="248"/>
      <c r="H75" s="247"/>
    </row>
    <row r="76" spans="1:8" x14ac:dyDescent="0.25">
      <c r="A76" s="380" t="s">
        <v>467</v>
      </c>
      <c r="B76" s="380"/>
      <c r="C76" s="380"/>
      <c r="D76" s="380"/>
      <c r="E76" s="380"/>
      <c r="F76" s="380"/>
      <c r="G76" s="380"/>
      <c r="H76" s="380"/>
    </row>
    <row r="77" spans="1:8" x14ac:dyDescent="0.25">
      <c r="A77" s="380" t="s">
        <v>497</v>
      </c>
      <c r="B77" s="380"/>
      <c r="C77" s="380"/>
      <c r="D77" s="380"/>
      <c r="E77" s="380"/>
      <c r="F77" s="380"/>
      <c r="G77" s="380"/>
      <c r="H77" s="380"/>
    </row>
  </sheetData>
  <mergeCells count="155">
    <mergeCell ref="A1:H1"/>
    <mergeCell ref="A2:H2"/>
    <mergeCell ref="A3:H3"/>
    <mergeCell ref="A4:H4"/>
    <mergeCell ref="A6:H6"/>
    <mergeCell ref="A8:A11"/>
    <mergeCell ref="B8:C8"/>
    <mergeCell ref="D8:E8"/>
    <mergeCell ref="F8:H8"/>
    <mergeCell ref="B9:C9"/>
    <mergeCell ref="D9:E9"/>
    <mergeCell ref="F9:H9"/>
    <mergeCell ref="B11:H11"/>
    <mergeCell ref="B12:H12"/>
    <mergeCell ref="A13:A15"/>
    <mergeCell ref="B13:B14"/>
    <mergeCell ref="C13:D13"/>
    <mergeCell ref="E13:F13"/>
    <mergeCell ref="G13:H13"/>
    <mergeCell ref="C14:D14"/>
    <mergeCell ref="C20:D20"/>
    <mergeCell ref="E20:F20"/>
    <mergeCell ref="E14:F14"/>
    <mergeCell ref="G14:H14"/>
    <mergeCell ref="C15:D15"/>
    <mergeCell ref="E15:F15"/>
    <mergeCell ref="G15:H15"/>
    <mergeCell ref="A16:A17"/>
    <mergeCell ref="B16:F16"/>
    <mergeCell ref="G16:H16"/>
    <mergeCell ref="B17:H17"/>
    <mergeCell ref="C24:D24"/>
    <mergeCell ref="E24:F24"/>
    <mergeCell ref="G24:H24"/>
    <mergeCell ref="C25:D25"/>
    <mergeCell ref="E25:F25"/>
    <mergeCell ref="G25:H25"/>
    <mergeCell ref="G20:H20"/>
    <mergeCell ref="A21:A22"/>
    <mergeCell ref="B21:F21"/>
    <mergeCell ref="G21:H21"/>
    <mergeCell ref="B22:H22"/>
    <mergeCell ref="A23:A25"/>
    <mergeCell ref="B23:B24"/>
    <mergeCell ref="C23:D23"/>
    <mergeCell ref="E23:F23"/>
    <mergeCell ref="G23:H23"/>
    <mergeCell ref="A18:A20"/>
    <mergeCell ref="B18:B19"/>
    <mergeCell ref="C18:D18"/>
    <mergeCell ref="E18:F18"/>
    <mergeCell ref="G18:H18"/>
    <mergeCell ref="C19:D19"/>
    <mergeCell ref="E19:F19"/>
    <mergeCell ref="G19:H19"/>
    <mergeCell ref="A26:A27"/>
    <mergeCell ref="B26:F26"/>
    <mergeCell ref="G26:H26"/>
    <mergeCell ref="B27:H27"/>
    <mergeCell ref="A28:A30"/>
    <mergeCell ref="B28:B29"/>
    <mergeCell ref="C28:D28"/>
    <mergeCell ref="E28:F28"/>
    <mergeCell ref="G28:H28"/>
    <mergeCell ref="C29:D29"/>
    <mergeCell ref="E29:F29"/>
    <mergeCell ref="G29:H29"/>
    <mergeCell ref="C30:D30"/>
    <mergeCell ref="E30:F30"/>
    <mergeCell ref="G30:H30"/>
    <mergeCell ref="A31:A32"/>
    <mergeCell ref="B31:F31"/>
    <mergeCell ref="G31:H31"/>
    <mergeCell ref="B32:H32"/>
    <mergeCell ref="G35:H35"/>
    <mergeCell ref="A36:A42"/>
    <mergeCell ref="B36:F36"/>
    <mergeCell ref="G36:H36"/>
    <mergeCell ref="B42:H42"/>
    <mergeCell ref="C39:D39"/>
    <mergeCell ref="E39:F39"/>
    <mergeCell ref="G39:H39"/>
    <mergeCell ref="G40:H40"/>
    <mergeCell ref="B41:F41"/>
    <mergeCell ref="G41:H41"/>
    <mergeCell ref="B37:H37"/>
    <mergeCell ref="B38:B39"/>
    <mergeCell ref="C38:D38"/>
    <mergeCell ref="E38:F38"/>
    <mergeCell ref="C40:D40"/>
    <mergeCell ref="E40:F40"/>
    <mergeCell ref="G38:H38"/>
    <mergeCell ref="A33:A35"/>
    <mergeCell ref="B33:B34"/>
    <mergeCell ref="C33:D33"/>
    <mergeCell ref="E33:F33"/>
    <mergeCell ref="G33:H33"/>
    <mergeCell ref="C34:D34"/>
    <mergeCell ref="E34:F34"/>
    <mergeCell ref="G34:H34"/>
    <mergeCell ref="C35:D35"/>
    <mergeCell ref="E35:F35"/>
    <mergeCell ref="A46:A47"/>
    <mergeCell ref="B46:F46"/>
    <mergeCell ref="G46:H46"/>
    <mergeCell ref="B47:H47"/>
    <mergeCell ref="A48:A50"/>
    <mergeCell ref="B48:B49"/>
    <mergeCell ref="C44:D44"/>
    <mergeCell ref="E44:F44"/>
    <mergeCell ref="G44:H44"/>
    <mergeCell ref="C45:D45"/>
    <mergeCell ref="E45:F45"/>
    <mergeCell ref="G45:H45"/>
    <mergeCell ref="A43:A45"/>
    <mergeCell ref="B43:B44"/>
    <mergeCell ref="C43:D43"/>
    <mergeCell ref="E43:F43"/>
    <mergeCell ref="G43:H43"/>
    <mergeCell ref="B57:H57"/>
    <mergeCell ref="B58:H58"/>
    <mergeCell ref="B59:D59"/>
    <mergeCell ref="G59:H59"/>
    <mergeCell ref="B60:D60"/>
    <mergeCell ref="G60:H60"/>
    <mergeCell ref="A51:A52"/>
    <mergeCell ref="B51:G51"/>
    <mergeCell ref="B52:H52"/>
    <mergeCell ref="A53:A55"/>
    <mergeCell ref="B53:B54"/>
    <mergeCell ref="B56:G56"/>
    <mergeCell ref="B61:D61"/>
    <mergeCell ref="G61:H61"/>
    <mergeCell ref="B62:D62"/>
    <mergeCell ref="G62:H62"/>
    <mergeCell ref="B66:D66"/>
    <mergeCell ref="G66:H66"/>
    <mergeCell ref="B63:D63"/>
    <mergeCell ref="G63:H63"/>
    <mergeCell ref="B64:D64"/>
    <mergeCell ref="G64:H64"/>
    <mergeCell ref="B65:D65"/>
    <mergeCell ref="G65:H65"/>
    <mergeCell ref="A70:H70"/>
    <mergeCell ref="A71:F71"/>
    <mergeCell ref="G71:H71"/>
    <mergeCell ref="B73:H73"/>
    <mergeCell ref="A76:H76"/>
    <mergeCell ref="A77:H77"/>
    <mergeCell ref="B67:D67"/>
    <mergeCell ref="G67:H67"/>
    <mergeCell ref="B68:D68"/>
    <mergeCell ref="G68:H68"/>
    <mergeCell ref="A69:F69"/>
    <mergeCell ref="G69:H69"/>
  </mergeCells>
  <pageMargins left="0.511811024" right="0.511811024" top="0.78740157499999996" bottom="0.78740157499999996" header="0.31496062000000002" footer="0.31496062000000002"/>
  <pageSetup paperSize="9"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I124"/>
  <sheetViews>
    <sheetView topLeftCell="A15" workbookViewId="0">
      <selection activeCell="V22" sqref="V22"/>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268"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603</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279">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279">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279">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279">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279"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279"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279" t="s">
        <v>6</v>
      </c>
      <c r="B19" s="510" t="s">
        <v>600</v>
      </c>
      <c r="C19" s="510"/>
      <c r="D19" s="510"/>
      <c r="E19" s="510"/>
      <c r="F19" s="510"/>
      <c r="G19" s="510"/>
      <c r="H19" s="510"/>
      <c r="I19" s="510"/>
      <c r="J19" s="510"/>
      <c r="K19" s="288">
        <v>40.39</v>
      </c>
      <c r="L19" s="288"/>
      <c r="M19" s="262"/>
      <c r="N19" s="262"/>
      <c r="O19" s="262"/>
      <c r="P19" s="262"/>
      <c r="Q19" s="262"/>
      <c r="R19" s="262"/>
      <c r="S19" s="262"/>
      <c r="T19" s="262"/>
      <c r="U19" s="265"/>
      <c r="V19" s="264"/>
      <c r="W19" s="264"/>
      <c r="X19" s="264"/>
      <c r="Y19" s="264"/>
      <c r="Z19" s="264"/>
      <c r="AA19" s="264"/>
      <c r="AB19" s="264"/>
      <c r="AC19" s="264"/>
      <c r="AD19" s="264"/>
      <c r="AE19" s="264"/>
      <c r="AF19" s="264"/>
      <c r="AG19" s="264"/>
      <c r="AH19" s="264"/>
      <c r="AI19" s="264"/>
    </row>
    <row r="20" spans="1:35" ht="19.5" customHeight="1" x14ac:dyDescent="0.25">
      <c r="A20" s="279" t="s">
        <v>8</v>
      </c>
      <c r="B20" s="503" t="s">
        <v>534</v>
      </c>
      <c r="C20" s="503"/>
      <c r="D20" s="503"/>
      <c r="E20" s="503"/>
      <c r="F20" s="503"/>
      <c r="G20" s="503"/>
      <c r="H20" s="503"/>
      <c r="I20" s="503"/>
      <c r="J20" s="503"/>
      <c r="K20" s="288"/>
      <c r="L20" s="288"/>
      <c r="M20" s="262"/>
      <c r="N20" s="262"/>
      <c r="O20" s="262"/>
      <c r="P20" s="262"/>
      <c r="Q20" s="262"/>
      <c r="R20" s="262"/>
      <c r="S20" s="262"/>
      <c r="T20" s="262"/>
      <c r="U20" s="265"/>
      <c r="V20" s="264"/>
      <c r="W20" s="264"/>
      <c r="X20" s="264"/>
      <c r="Y20" s="264"/>
      <c r="Z20" s="264"/>
      <c r="AA20" s="264"/>
      <c r="AB20" s="264"/>
      <c r="AC20" s="264"/>
      <c r="AD20" s="264"/>
      <c r="AE20" s="264"/>
      <c r="AF20" s="264"/>
      <c r="AG20" s="264"/>
      <c r="AH20" s="264"/>
      <c r="AI20" s="264"/>
    </row>
    <row r="21" spans="1:35" ht="19.5" customHeight="1" x14ac:dyDescent="0.25">
      <c r="A21" s="279" t="s">
        <v>10</v>
      </c>
      <c r="B21" s="503" t="s">
        <v>535</v>
      </c>
      <c r="C21" s="503"/>
      <c r="D21" s="503"/>
      <c r="E21" s="503"/>
      <c r="F21" s="503"/>
      <c r="G21" s="503"/>
      <c r="H21" s="503"/>
      <c r="I21" s="503"/>
      <c r="J21" s="503"/>
      <c r="K21" s="288"/>
      <c r="L21" s="288"/>
      <c r="M21" s="262"/>
      <c r="N21" s="262"/>
      <c r="O21" s="262"/>
      <c r="P21" s="262"/>
      <c r="Q21" s="262"/>
      <c r="R21" s="262"/>
      <c r="S21" s="262"/>
      <c r="T21" s="262"/>
      <c r="U21" s="265"/>
      <c r="V21" s="264"/>
      <c r="W21" s="264"/>
      <c r="X21" s="264"/>
      <c r="Y21" s="264"/>
      <c r="Z21" s="264"/>
      <c r="AA21" s="264"/>
      <c r="AB21" s="264"/>
      <c r="AC21" s="264"/>
      <c r="AD21" s="264"/>
      <c r="AE21" s="264"/>
      <c r="AF21" s="264"/>
      <c r="AG21" s="264"/>
      <c r="AH21" s="264"/>
      <c r="AI21" s="264"/>
    </row>
    <row r="22" spans="1:35" ht="19.5" customHeight="1" x14ac:dyDescent="0.25">
      <c r="A22" s="279" t="s">
        <v>12</v>
      </c>
      <c r="B22" s="503" t="s">
        <v>28</v>
      </c>
      <c r="C22" s="503"/>
      <c r="D22" s="503"/>
      <c r="E22" s="503"/>
      <c r="F22" s="503"/>
      <c r="G22" s="503"/>
      <c r="H22" s="503"/>
      <c r="I22" s="503"/>
      <c r="J22" s="503"/>
      <c r="K22" s="288"/>
      <c r="L22" s="288"/>
      <c r="M22" s="262"/>
      <c r="N22" s="262"/>
      <c r="O22" s="262"/>
      <c r="P22" s="262"/>
      <c r="Q22" s="262"/>
      <c r="R22" s="262"/>
      <c r="S22" s="262"/>
      <c r="T22" s="262"/>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279"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279"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292"/>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295"/>
      <c r="L31" s="295">
        <f t="shared" ref="L31:T31" si="7">L25</f>
        <v>0</v>
      </c>
      <c r="M31" s="295">
        <f t="shared" si="7"/>
        <v>0</v>
      </c>
      <c r="N31" s="295">
        <f t="shared" si="7"/>
        <v>0</v>
      </c>
      <c r="O31" s="295">
        <f t="shared" si="7"/>
        <v>0</v>
      </c>
      <c r="P31" s="295">
        <f t="shared" si="7"/>
        <v>0</v>
      </c>
      <c r="Q31" s="295">
        <f t="shared" si="7"/>
        <v>0</v>
      </c>
      <c r="R31" s="295">
        <f t="shared" si="7"/>
        <v>0</v>
      </c>
      <c r="S31" s="295">
        <f t="shared" si="7"/>
        <v>0</v>
      </c>
      <c r="T31" s="295">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279"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279"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279"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279"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279"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279"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279" t="s">
        <v>26</v>
      </c>
      <c r="B40" s="500" t="s">
        <v>546</v>
      </c>
      <c r="C40" s="500"/>
      <c r="D40" s="500"/>
      <c r="E40" s="500"/>
      <c r="F40" s="300">
        <v>0.02</v>
      </c>
      <c r="G40" s="301"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279"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295"/>
      <c r="L43" s="295">
        <f t="shared" ref="L43:T43" si="11">L31</f>
        <v>0</v>
      </c>
      <c r="M43" s="295">
        <f t="shared" si="11"/>
        <v>0</v>
      </c>
      <c r="N43" s="295">
        <f t="shared" si="11"/>
        <v>0</v>
      </c>
      <c r="O43" s="295">
        <f t="shared" si="11"/>
        <v>0</v>
      </c>
      <c r="P43" s="295">
        <f t="shared" si="11"/>
        <v>0</v>
      </c>
      <c r="Q43" s="295">
        <f t="shared" si="11"/>
        <v>0</v>
      </c>
      <c r="R43" s="295">
        <f t="shared" si="11"/>
        <v>0</v>
      </c>
      <c r="S43" s="295">
        <f t="shared" si="11"/>
        <v>0</v>
      </c>
      <c r="T43" s="295">
        <f t="shared" si="11"/>
        <v>0</v>
      </c>
      <c r="U43" s="265"/>
      <c r="V43" s="264"/>
      <c r="W43" s="264"/>
      <c r="X43" s="264"/>
      <c r="Y43" s="264"/>
      <c r="Z43" s="264"/>
      <c r="AA43" s="264"/>
      <c r="AB43" s="264"/>
      <c r="AC43" s="264"/>
      <c r="AD43" s="264"/>
      <c r="AE43" s="264"/>
      <c r="AF43" s="264"/>
      <c r="AG43" s="264"/>
      <c r="AH43" s="264"/>
      <c r="AI43" s="264"/>
    </row>
    <row r="44" spans="1:35" ht="19.5" customHeight="1" x14ac:dyDescent="0.25">
      <c r="A44" s="279" t="s">
        <v>3</v>
      </c>
      <c r="B44" s="510" t="s">
        <v>549</v>
      </c>
      <c r="C44" s="510"/>
      <c r="D44" s="510"/>
      <c r="E44" s="510"/>
      <c r="F44" s="510"/>
      <c r="G44" s="510"/>
      <c r="H44" s="510"/>
      <c r="I44" s="510"/>
      <c r="J44" s="510"/>
      <c r="K44" s="288">
        <v>150.33000000000001</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279"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279"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279"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279"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279"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279"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279"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279"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25"/>
      <c r="B53" s="561" t="s">
        <v>75</v>
      </c>
      <c r="C53" s="561"/>
      <c r="D53" s="561"/>
      <c r="E53" s="561"/>
      <c r="F53" s="561"/>
      <c r="G53" s="561"/>
      <c r="H53" s="561"/>
      <c r="I53" s="561"/>
      <c r="J53" s="561"/>
      <c r="K53" s="294">
        <f>SUM(K44:K52)</f>
        <v>575.63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295"/>
      <c r="L55" s="295">
        <f t="shared" ref="L55:T55" si="15">L43</f>
        <v>0</v>
      </c>
      <c r="M55" s="295">
        <f t="shared" si="15"/>
        <v>0</v>
      </c>
      <c r="N55" s="295">
        <f t="shared" si="15"/>
        <v>0</v>
      </c>
      <c r="O55" s="295">
        <f t="shared" si="15"/>
        <v>0</v>
      </c>
      <c r="P55" s="295">
        <f t="shared" si="15"/>
        <v>0</v>
      </c>
      <c r="Q55" s="295">
        <f t="shared" si="15"/>
        <v>0</v>
      </c>
      <c r="R55" s="295">
        <f t="shared" si="15"/>
        <v>0</v>
      </c>
      <c r="S55" s="295">
        <f t="shared" si="15"/>
        <v>0</v>
      </c>
      <c r="T55" s="295">
        <f t="shared" si="15"/>
        <v>0</v>
      </c>
      <c r="U55" s="265"/>
      <c r="V55" s="264"/>
      <c r="W55" s="264"/>
      <c r="X55" s="264"/>
      <c r="Y55" s="264"/>
      <c r="Z55" s="264"/>
      <c r="AA55" s="264"/>
      <c r="AB55" s="264"/>
      <c r="AC55" s="264"/>
      <c r="AD55" s="264"/>
      <c r="AE55" s="264"/>
      <c r="AF55" s="264"/>
      <c r="AG55" s="264"/>
      <c r="AH55" s="264"/>
      <c r="AI55" s="264"/>
    </row>
    <row r="56" spans="1:35" ht="19.5" customHeight="1" x14ac:dyDescent="0.25">
      <c r="A56" s="279"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279"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279" t="s">
        <v>560</v>
      </c>
      <c r="B58" s="510" t="s">
        <v>561</v>
      </c>
      <c r="C58" s="510"/>
      <c r="D58" s="510"/>
      <c r="E58" s="510"/>
      <c r="F58" s="510"/>
      <c r="G58" s="510"/>
      <c r="H58" s="510"/>
      <c r="I58" s="510"/>
      <c r="J58" s="510"/>
      <c r="K58" s="288">
        <f>K53</f>
        <v>575.63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05"/>
      <c r="B59" s="511" t="s">
        <v>75</v>
      </c>
      <c r="C59" s="511"/>
      <c r="D59" s="511"/>
      <c r="E59" s="511"/>
      <c r="F59" s="511"/>
      <c r="G59" s="511"/>
      <c r="H59" s="511"/>
      <c r="I59" s="511"/>
      <c r="J59" s="511"/>
      <c r="K59" s="290">
        <f>K56+K57+K58</f>
        <v>1036.6300000000001</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2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295"/>
      <c r="L61" s="295">
        <f t="shared" ref="L61:T61" si="20">L55</f>
        <v>0</v>
      </c>
      <c r="M61" s="295">
        <f t="shared" si="20"/>
        <v>0</v>
      </c>
      <c r="N61" s="295">
        <f t="shared" si="20"/>
        <v>0</v>
      </c>
      <c r="O61" s="295">
        <f t="shared" si="20"/>
        <v>0</v>
      </c>
      <c r="P61" s="295">
        <f t="shared" si="20"/>
        <v>0</v>
      </c>
      <c r="Q61" s="295">
        <f t="shared" si="20"/>
        <v>0</v>
      </c>
      <c r="R61" s="295">
        <f t="shared" si="20"/>
        <v>0</v>
      </c>
      <c r="S61" s="295">
        <f t="shared" si="20"/>
        <v>0</v>
      </c>
      <c r="T61" s="295">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279"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279"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279"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279"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279"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279"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279"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279"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279"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279"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279"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279"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279"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295"/>
      <c r="L85" s="295">
        <f t="shared" ref="L85:T85" si="32">L71</f>
        <v>0</v>
      </c>
      <c r="M85" s="295">
        <f t="shared" si="32"/>
        <v>0</v>
      </c>
      <c r="N85" s="295">
        <f t="shared" si="32"/>
        <v>0</v>
      </c>
      <c r="O85" s="295">
        <f t="shared" si="32"/>
        <v>0</v>
      </c>
      <c r="P85" s="295">
        <f t="shared" si="32"/>
        <v>0</v>
      </c>
      <c r="Q85" s="295">
        <f t="shared" si="32"/>
        <v>0</v>
      </c>
      <c r="R85" s="295">
        <f t="shared" si="32"/>
        <v>0</v>
      </c>
      <c r="S85" s="295">
        <f t="shared" si="32"/>
        <v>0</v>
      </c>
      <c r="T85" s="295">
        <f t="shared" si="32"/>
        <v>0</v>
      </c>
      <c r="U85" s="265"/>
      <c r="V85" s="265"/>
      <c r="W85" s="265"/>
      <c r="X85" s="265"/>
      <c r="Y85" s="265"/>
      <c r="Z85" s="265"/>
      <c r="AA85" s="265"/>
      <c r="AB85" s="265"/>
      <c r="AC85" s="265"/>
      <c r="AD85" s="265"/>
      <c r="AE85" s="265"/>
      <c r="AF85" s="265"/>
      <c r="AG85" s="265"/>
      <c r="AH85" s="265"/>
      <c r="AI85" s="265"/>
    </row>
    <row r="86" spans="1:35" ht="19.5" customHeight="1" x14ac:dyDescent="0.25">
      <c r="A86" s="279"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295"/>
      <c r="L89" s="295">
        <f t="shared" ref="L89:T89" si="34">L85</f>
        <v>0</v>
      </c>
      <c r="M89" s="295">
        <f t="shared" si="34"/>
        <v>0</v>
      </c>
      <c r="N89" s="295">
        <f t="shared" si="34"/>
        <v>0</v>
      </c>
      <c r="O89" s="295">
        <f t="shared" si="34"/>
        <v>0</v>
      </c>
      <c r="P89" s="295">
        <f t="shared" si="34"/>
        <v>0</v>
      </c>
      <c r="Q89" s="295">
        <f t="shared" si="34"/>
        <v>0</v>
      </c>
      <c r="R89" s="295">
        <f t="shared" si="34"/>
        <v>0</v>
      </c>
      <c r="S89" s="295">
        <f t="shared" si="34"/>
        <v>0</v>
      </c>
      <c r="T89" s="295">
        <f t="shared" si="34"/>
        <v>0</v>
      </c>
      <c r="U89" s="265"/>
      <c r="V89" s="265"/>
      <c r="W89" s="265"/>
      <c r="X89" s="265"/>
      <c r="Y89" s="265"/>
      <c r="Z89" s="265"/>
      <c r="AA89" s="265"/>
      <c r="AB89" s="265"/>
      <c r="AC89" s="265"/>
      <c r="AD89" s="265"/>
      <c r="AE89" s="265"/>
      <c r="AF89" s="265"/>
      <c r="AG89" s="265"/>
      <c r="AH89" s="265"/>
      <c r="AI89" s="265"/>
    </row>
    <row r="90" spans="1:35" ht="19.5" customHeight="1" x14ac:dyDescent="0.25">
      <c r="A90" s="279"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279"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295"/>
      <c r="L94" s="295">
        <f t="shared" ref="L94:T94" si="38">L89</f>
        <v>0</v>
      </c>
      <c r="M94" s="295">
        <f t="shared" si="38"/>
        <v>0</v>
      </c>
      <c r="N94" s="295">
        <f t="shared" si="38"/>
        <v>0</v>
      </c>
      <c r="O94" s="295">
        <f t="shared" si="38"/>
        <v>0</v>
      </c>
      <c r="P94" s="295">
        <f t="shared" si="38"/>
        <v>0</v>
      </c>
      <c r="Q94" s="295">
        <f t="shared" si="38"/>
        <v>0</v>
      </c>
      <c r="R94" s="295">
        <f t="shared" si="38"/>
        <v>0</v>
      </c>
      <c r="S94" s="295">
        <f t="shared" si="38"/>
        <v>0</v>
      </c>
      <c r="T94" s="295">
        <f t="shared" si="38"/>
        <v>0</v>
      </c>
      <c r="U94" s="265"/>
      <c r="V94" s="265"/>
      <c r="W94" s="265"/>
      <c r="X94" s="265"/>
      <c r="Y94" s="265"/>
      <c r="Z94" s="265"/>
      <c r="AA94" s="265"/>
      <c r="AB94" s="265"/>
      <c r="AC94" s="265"/>
      <c r="AD94" s="265"/>
      <c r="AE94" s="265"/>
      <c r="AF94" s="265"/>
      <c r="AG94" s="265"/>
      <c r="AH94" s="265"/>
      <c r="AI94" s="265"/>
    </row>
    <row r="95" spans="1:35" ht="19.5" customHeight="1" x14ac:dyDescent="0.25">
      <c r="A95" s="279"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279" t="s">
        <v>5</v>
      </c>
      <c r="B96" s="545" t="s">
        <v>605</v>
      </c>
      <c r="C96" s="546"/>
      <c r="D96" s="546"/>
      <c r="E96" s="546"/>
      <c r="F96" s="546"/>
      <c r="G96" s="546"/>
      <c r="H96" s="546"/>
      <c r="I96" s="547"/>
      <c r="J96" s="317">
        <v>0</v>
      </c>
      <c r="K96" s="288">
        <v>400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279"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457.26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295"/>
      <c r="L103" s="295">
        <f t="shared" ref="L103:T103" si="41">L94</f>
        <v>0</v>
      </c>
      <c r="M103" s="295">
        <f t="shared" si="41"/>
        <v>0</v>
      </c>
      <c r="N103" s="295">
        <f t="shared" si="41"/>
        <v>0</v>
      </c>
      <c r="O103" s="295">
        <f t="shared" si="41"/>
        <v>0</v>
      </c>
      <c r="P103" s="295">
        <f t="shared" si="41"/>
        <v>0</v>
      </c>
      <c r="Q103" s="295">
        <f t="shared" si="41"/>
        <v>0</v>
      </c>
      <c r="R103" s="295">
        <f t="shared" si="41"/>
        <v>0</v>
      </c>
      <c r="S103" s="295">
        <f t="shared" si="41"/>
        <v>0</v>
      </c>
      <c r="T103" s="295">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279"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279" t="s">
        <v>5</v>
      </c>
      <c r="B105" s="503" t="s">
        <v>589</v>
      </c>
      <c r="C105" s="503"/>
      <c r="D105" s="503"/>
      <c r="E105" s="503"/>
      <c r="F105" s="503"/>
      <c r="G105" s="503"/>
      <c r="H105" s="503"/>
      <c r="I105" s="503"/>
      <c r="J105" s="503"/>
      <c r="K105" s="288">
        <f t="shared" ref="K105:T105" si="43">K59</f>
        <v>1036.6300000000001</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279"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279"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279" t="s">
        <v>10</v>
      </c>
      <c r="B108" s="503" t="s">
        <v>592</v>
      </c>
      <c r="C108" s="503"/>
      <c r="D108" s="503"/>
      <c r="E108" s="503"/>
      <c r="F108" s="503"/>
      <c r="G108" s="503"/>
      <c r="H108" s="503"/>
      <c r="I108" s="503"/>
      <c r="J108" s="503"/>
      <c r="K108" s="288">
        <f>K100</f>
        <v>457.26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2846.18</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295"/>
      <c r="L111" s="295">
        <f t="shared" ref="L111:T111" si="48">L103</f>
        <v>0</v>
      </c>
      <c r="M111" s="295">
        <f t="shared" si="48"/>
        <v>0</v>
      </c>
      <c r="N111" s="295">
        <f t="shared" si="48"/>
        <v>0</v>
      </c>
      <c r="O111" s="295">
        <f t="shared" si="48"/>
        <v>0</v>
      </c>
      <c r="P111" s="295">
        <f t="shared" si="48"/>
        <v>0</v>
      </c>
      <c r="Q111" s="295">
        <f t="shared" si="48"/>
        <v>0</v>
      </c>
      <c r="R111" s="295">
        <f t="shared" si="48"/>
        <v>0</v>
      </c>
      <c r="S111" s="295">
        <f t="shared" si="48"/>
        <v>0</v>
      </c>
      <c r="T111" s="295">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279" t="s">
        <v>3</v>
      </c>
      <c r="B112" s="500" t="s">
        <v>595</v>
      </c>
      <c r="C112" s="500"/>
      <c r="D112" s="500"/>
      <c r="E112" s="500"/>
      <c r="F112" s="500"/>
      <c r="G112" s="500"/>
      <c r="H112" s="500"/>
      <c r="I112" s="500"/>
      <c r="J112" s="313">
        <v>8.5000000000000006E-2</v>
      </c>
      <c r="K112" s="288">
        <f>K$109*$J112</f>
        <v>241.93</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279" t="s">
        <v>5</v>
      </c>
      <c r="B113" s="500" t="s">
        <v>130</v>
      </c>
      <c r="C113" s="500"/>
      <c r="D113" s="500"/>
      <c r="E113" s="500"/>
      <c r="F113" s="500"/>
      <c r="G113" s="500"/>
      <c r="H113" s="500"/>
      <c r="I113" s="500"/>
      <c r="J113" s="313">
        <v>0.08</v>
      </c>
      <c r="K113" s="288">
        <f t="shared" ref="K113:T113" si="50">(K109+K112)*$J113</f>
        <v>247.05</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IF(K114&lt;&gt;"",K118*K114,0)</f>
        <v>261.86</v>
      </c>
      <c r="L115" s="288">
        <f t="shared" ref="L115:T115" si="51">IF(L114&lt;&gt;"",L118*L114,0)</f>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750.84</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3597.02</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114:A115"/>
    <mergeCell ref="B114:I115"/>
    <mergeCell ref="B120:H120"/>
    <mergeCell ref="A123:H123"/>
    <mergeCell ref="A124:H124"/>
    <mergeCell ref="A116:J116"/>
    <mergeCell ref="A118:J118"/>
    <mergeCell ref="B106:J106"/>
    <mergeCell ref="B107:J107"/>
    <mergeCell ref="B108:J108"/>
    <mergeCell ref="A109:J109"/>
    <mergeCell ref="A110:K110"/>
    <mergeCell ref="A111:J111"/>
    <mergeCell ref="A101:K101"/>
    <mergeCell ref="A102:T102"/>
    <mergeCell ref="A103:J103"/>
    <mergeCell ref="B104:J104"/>
    <mergeCell ref="B105:J105"/>
    <mergeCell ref="B112:I112"/>
    <mergeCell ref="B113:I113"/>
    <mergeCell ref="A87:I87"/>
    <mergeCell ref="A88:K88"/>
    <mergeCell ref="A89:J89"/>
    <mergeCell ref="B90:I90"/>
    <mergeCell ref="B91:I91"/>
    <mergeCell ref="A92:I92"/>
    <mergeCell ref="B96:I96"/>
    <mergeCell ref="A93:K93"/>
    <mergeCell ref="A94:J94"/>
    <mergeCell ref="B95:J95"/>
    <mergeCell ref="A98:A99"/>
    <mergeCell ref="B98:C99"/>
    <mergeCell ref="D98:J98"/>
    <mergeCell ref="D99:J99"/>
    <mergeCell ref="B97:I97"/>
    <mergeCell ref="A100:J100"/>
    <mergeCell ref="B81:I81"/>
    <mergeCell ref="B82:I82"/>
    <mergeCell ref="A83:I83"/>
    <mergeCell ref="A84:K84"/>
    <mergeCell ref="A85:J85"/>
    <mergeCell ref="B86:I86"/>
    <mergeCell ref="A75:J75"/>
    <mergeCell ref="B76:I76"/>
    <mergeCell ref="B77:I77"/>
    <mergeCell ref="B78:I78"/>
    <mergeCell ref="B79:I79"/>
    <mergeCell ref="B80:I80"/>
    <mergeCell ref="R71:R72"/>
    <mergeCell ref="S71:S72"/>
    <mergeCell ref="T71:T72"/>
    <mergeCell ref="A72:J72"/>
    <mergeCell ref="A73:J73"/>
    <mergeCell ref="B74:I74"/>
    <mergeCell ref="L71:L72"/>
    <mergeCell ref="M71:M72"/>
    <mergeCell ref="N71:N72"/>
    <mergeCell ref="O71:O72"/>
    <mergeCell ref="P71:P72"/>
    <mergeCell ref="Q71:Q72"/>
    <mergeCell ref="B66:I66"/>
    <mergeCell ref="A67:J67"/>
    <mergeCell ref="B68:I68"/>
    <mergeCell ref="A69:I69"/>
    <mergeCell ref="A70:K70"/>
    <mergeCell ref="A71:J71"/>
    <mergeCell ref="K71:K72"/>
    <mergeCell ref="A62:J62"/>
    <mergeCell ref="B63:C63"/>
    <mergeCell ref="F63:G63"/>
    <mergeCell ref="H63:I63"/>
    <mergeCell ref="B64:I64"/>
    <mergeCell ref="B65:I65"/>
    <mergeCell ref="B56:I56"/>
    <mergeCell ref="B57:I57"/>
    <mergeCell ref="B58:J58"/>
    <mergeCell ref="B59:J59"/>
    <mergeCell ref="A60:K60"/>
    <mergeCell ref="A61:J61"/>
    <mergeCell ref="B50:J50"/>
    <mergeCell ref="B51:J51"/>
    <mergeCell ref="B52:J52"/>
    <mergeCell ref="B53:J53"/>
    <mergeCell ref="A54:K54"/>
    <mergeCell ref="A55:J55"/>
    <mergeCell ref="B44:J44"/>
    <mergeCell ref="B45:J45"/>
    <mergeCell ref="B46:J46"/>
    <mergeCell ref="B47:J47"/>
    <mergeCell ref="B48:J48"/>
    <mergeCell ref="B49:J49"/>
    <mergeCell ref="B39:I39"/>
    <mergeCell ref="B40:E40"/>
    <mergeCell ref="H40:I40"/>
    <mergeCell ref="C41:I41"/>
    <mergeCell ref="A42:T42"/>
    <mergeCell ref="A43:J43"/>
    <mergeCell ref="A33:I33"/>
    <mergeCell ref="B34:I34"/>
    <mergeCell ref="B35:I35"/>
    <mergeCell ref="B36:I36"/>
    <mergeCell ref="B37:I37"/>
    <mergeCell ref="B38:I38"/>
    <mergeCell ref="B27:I27"/>
    <mergeCell ref="B28:I28"/>
    <mergeCell ref="B29:I29"/>
    <mergeCell ref="A30:K30"/>
    <mergeCell ref="A31:J31"/>
    <mergeCell ref="A32:J32"/>
    <mergeCell ref="P25:P26"/>
    <mergeCell ref="Q25:Q26"/>
    <mergeCell ref="R25:R26"/>
    <mergeCell ref="S25:S26"/>
    <mergeCell ref="T25:T26"/>
    <mergeCell ref="A26:J26"/>
    <mergeCell ref="A25:J25"/>
    <mergeCell ref="K25:K26"/>
    <mergeCell ref="L25:L26"/>
    <mergeCell ref="M25:M26"/>
    <mergeCell ref="N25:N26"/>
    <mergeCell ref="O25:O26"/>
    <mergeCell ref="B19:J19"/>
    <mergeCell ref="B20:J20"/>
    <mergeCell ref="B21:J21"/>
    <mergeCell ref="B22:J22"/>
    <mergeCell ref="A23:J23"/>
    <mergeCell ref="A24:T24"/>
    <mergeCell ref="B14:J14"/>
    <mergeCell ref="A16:J16"/>
    <mergeCell ref="B17:J17"/>
    <mergeCell ref="B18:D18"/>
    <mergeCell ref="E18:G18"/>
    <mergeCell ref="H18:I18"/>
    <mergeCell ref="B9:J9"/>
    <mergeCell ref="A10:K10"/>
    <mergeCell ref="B11:J11"/>
    <mergeCell ref="B12:J12"/>
    <mergeCell ref="B13:J13"/>
    <mergeCell ref="A5:K5"/>
    <mergeCell ref="A6:C6"/>
    <mergeCell ref="D6:K6"/>
    <mergeCell ref="B7:D7"/>
    <mergeCell ref="E7:K7"/>
    <mergeCell ref="A1:K1"/>
    <mergeCell ref="A2:C2"/>
    <mergeCell ref="D2:K2"/>
    <mergeCell ref="A3:C3"/>
    <mergeCell ref="D3:K3"/>
    <mergeCell ref="A4:C4"/>
    <mergeCell ref="D4:F4"/>
    <mergeCell ref="H4:K4"/>
    <mergeCell ref="B8:J8"/>
  </mergeCells>
  <conditionalFormatting sqref="J97">
    <cfRule type="expression" dxfId="5" priority="3">
      <formula>$J$97=""</formula>
    </cfRule>
  </conditionalFormatting>
  <conditionalFormatting sqref="J96">
    <cfRule type="expression" dxfId="4"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9</xdr:col>
                    <xdr:colOff>0</xdr:colOff>
                    <xdr:row>17</xdr:row>
                    <xdr:rowOff>0</xdr:rowOff>
                  </from>
                  <to>
                    <xdr:col>9</xdr:col>
                    <xdr:colOff>466725</xdr:colOff>
                    <xdr:row>18</xdr:row>
                    <xdr:rowOff>0</xdr:rowOff>
                  </to>
                </anchor>
              </controlPr>
            </control>
          </mc:Choice>
        </mc:AlternateContent>
        <mc:AlternateContent xmlns:mc="http://schemas.openxmlformats.org/markup-compatibility/2006">
          <mc:Choice Requires="x14">
            <control shapeId="52226" r:id="rId5" name="Option Button 2">
              <controlPr defaultSize="0" autoFill="0" autoLine="0" autoPict="0">
                <anchor moveWithCells="1">
                  <from>
                    <xdr:col>9</xdr:col>
                    <xdr:colOff>638175</xdr:colOff>
                    <xdr:row>17</xdr:row>
                    <xdr:rowOff>0</xdr:rowOff>
                  </from>
                  <to>
                    <xdr:col>10</xdr:col>
                    <xdr:colOff>438150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I124"/>
  <sheetViews>
    <sheetView topLeftCell="A111" workbookViewId="0">
      <selection activeCell="J112" sqref="J112"/>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603</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549</v>
      </c>
      <c r="C44" s="510"/>
      <c r="D44" s="510"/>
      <c r="E44" s="510"/>
      <c r="F44" s="510"/>
      <c r="G44" s="510"/>
      <c r="H44" s="510"/>
      <c r="I44" s="510"/>
      <c r="J44" s="510"/>
      <c r="K44" s="288">
        <v>150.33000000000001</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7"/>
      <c r="B53" s="561" t="s">
        <v>75</v>
      </c>
      <c r="C53" s="561"/>
      <c r="D53" s="561"/>
      <c r="E53" s="561"/>
      <c r="F53" s="561"/>
      <c r="G53" s="561"/>
      <c r="H53" s="561"/>
      <c r="I53" s="561"/>
      <c r="J53" s="561"/>
      <c r="K53" s="294">
        <f>SUM(K44:K52)</f>
        <v>575.63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575.63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1036.6300000000001</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2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400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457.26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1036.6300000000001</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457.26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2846.18</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0.09</v>
      </c>
      <c r="K112" s="288">
        <f>K$109*$J112</f>
        <v>256.16000000000003</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0.09</v>
      </c>
      <c r="K113" s="288">
        <f t="shared" ref="K113:T113" si="50">(K109+K112)*$J113</f>
        <v>279.20999999999998</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IF(K114&lt;&gt;"",K118*K114,0)</f>
        <v>265.51</v>
      </c>
      <c r="L115" s="288">
        <f t="shared" ref="L115:T115" si="51">IF(L114&lt;&gt;"",L118*L114,0)</f>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800.88</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3647.06</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3" priority="2">
      <formula>$J$97=""</formula>
    </cfRule>
  </conditionalFormatting>
  <conditionalFormatting sqref="J96">
    <cfRule type="expression" dxfId="2"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9</xdr:col>
                    <xdr:colOff>0</xdr:colOff>
                    <xdr:row>17</xdr:row>
                    <xdr:rowOff>0</xdr:rowOff>
                  </from>
                  <to>
                    <xdr:col>9</xdr:col>
                    <xdr:colOff>466725</xdr:colOff>
                    <xdr:row>18</xdr:row>
                    <xdr:rowOff>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9</xdr:col>
                    <xdr:colOff>638175</xdr:colOff>
                    <xdr:row>17</xdr:row>
                    <xdr:rowOff>0</xdr:rowOff>
                  </from>
                  <to>
                    <xdr:col>10</xdr:col>
                    <xdr:colOff>438150</xdr:colOff>
                    <xdr:row>18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I124"/>
  <sheetViews>
    <sheetView topLeftCell="A111" workbookViewId="0">
      <selection activeCell="J113" sqref="J113"/>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603</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549</v>
      </c>
      <c r="C44" s="510"/>
      <c r="D44" s="510"/>
      <c r="E44" s="510"/>
      <c r="F44" s="510"/>
      <c r="G44" s="510"/>
      <c r="H44" s="510"/>
      <c r="I44" s="510"/>
      <c r="J44" s="510"/>
      <c r="K44" s="288">
        <v>150.33000000000001</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7"/>
      <c r="B53" s="561" t="s">
        <v>75</v>
      </c>
      <c r="C53" s="561"/>
      <c r="D53" s="561"/>
      <c r="E53" s="561"/>
      <c r="F53" s="561"/>
      <c r="G53" s="561"/>
      <c r="H53" s="561"/>
      <c r="I53" s="561"/>
      <c r="J53" s="561"/>
      <c r="K53" s="294">
        <f>SUM(K44:K52)</f>
        <v>575.63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575.63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1036.6300000000001</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2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400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457.26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1036.6300000000001</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457.26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2846.18</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0.09</v>
      </c>
      <c r="K112" s="288">
        <f>K$109*$J112</f>
        <v>256.16000000000003</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8.5000000000000006E-2</v>
      </c>
      <c r="K113" s="288">
        <f t="shared" ref="K113:T113" si="50">(K109+K112)*$J113</f>
        <v>263.7</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IF(K114&lt;&gt;"",K118*K114,0)</f>
        <v>264.29000000000002</v>
      </c>
      <c r="L115" s="288">
        <f t="shared" ref="L115:T115" si="51">IF(L114&lt;&gt;"",L118*L114,0)</f>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784.15</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3630.33</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1" priority="2">
      <formula>$J$97=""</formula>
    </cfRule>
  </conditionalFormatting>
  <conditionalFormatting sqref="J96">
    <cfRule type="expression" dxfId="0"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9</xdr:col>
                    <xdr:colOff>0</xdr:colOff>
                    <xdr:row>17</xdr:row>
                    <xdr:rowOff>0</xdr:rowOff>
                  </from>
                  <to>
                    <xdr:col>9</xdr:col>
                    <xdr:colOff>466725</xdr:colOff>
                    <xdr:row>18</xdr:row>
                    <xdr:rowOff>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9</xdr:col>
                    <xdr:colOff>638175</xdr:colOff>
                    <xdr:row>17</xdr:row>
                    <xdr:rowOff>0</xdr:rowOff>
                  </from>
                  <to>
                    <xdr:col>10</xdr:col>
                    <xdr:colOff>438150</xdr:colOff>
                    <xdr:row>18</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selection activeCell="K2" sqref="K2"/>
    </sheetView>
  </sheetViews>
  <sheetFormatPr defaultRowHeight="18.75" x14ac:dyDescent="0.3"/>
  <cols>
    <col min="2" max="2" width="22.7109375" customWidth="1"/>
    <col min="4" max="4" width="17.42578125" customWidth="1"/>
    <col min="6" max="6" width="5.7109375" customWidth="1"/>
    <col min="7" max="7" width="1.42578125" customWidth="1"/>
    <col min="8" max="8" width="13.42578125" customWidth="1"/>
    <col min="9" max="9" width="7.85546875" customWidth="1"/>
    <col min="10" max="10" width="0.85546875" customWidth="1"/>
    <col min="11" max="11" width="14.28515625" style="690" bestFit="1" customWidth="1"/>
    <col min="16" max="16" width="15" customWidth="1"/>
    <col min="17" max="17" width="16.7109375" customWidth="1"/>
    <col min="18" max="18" width="15" customWidth="1"/>
    <col min="19" max="19" width="14.85546875" customWidth="1"/>
  </cols>
  <sheetData>
    <row r="1" spans="1:19" x14ac:dyDescent="0.3">
      <c r="A1" s="646" t="s">
        <v>618</v>
      </c>
      <c r="B1" s="646"/>
      <c r="C1" s="646"/>
      <c r="D1" s="646"/>
      <c r="E1" s="646"/>
      <c r="F1" s="646"/>
      <c r="G1" s="646"/>
      <c r="H1" s="646"/>
      <c r="I1" s="646"/>
      <c r="J1" s="646"/>
      <c r="K1" s="685"/>
      <c r="L1" s="50"/>
    </row>
    <row r="2" spans="1:19" ht="30.75" customHeight="1" x14ac:dyDescent="0.3">
      <c r="K2" s="686"/>
      <c r="L2" s="647" t="s">
        <v>619</v>
      </c>
      <c r="M2" s="647"/>
      <c r="N2" s="647"/>
      <c r="O2" s="647"/>
    </row>
    <row r="3" spans="1:19" ht="70.5" customHeight="1" x14ac:dyDescent="0.3">
      <c r="A3" s="186" t="s">
        <v>298</v>
      </c>
      <c r="B3" s="186" t="s">
        <v>620</v>
      </c>
      <c r="C3" s="186" t="s">
        <v>621</v>
      </c>
      <c r="D3" s="186" t="s">
        <v>622</v>
      </c>
      <c r="E3" s="648" t="s">
        <v>623</v>
      </c>
      <c r="F3" s="648"/>
      <c r="H3" s="649" t="s">
        <v>624</v>
      </c>
      <c r="K3" s="686"/>
      <c r="L3" s="650" t="s">
        <v>625</v>
      </c>
      <c r="M3" s="651" t="s">
        <v>626</v>
      </c>
      <c r="N3" s="651" t="s">
        <v>627</v>
      </c>
      <c r="O3" s="651" t="s">
        <v>628</v>
      </c>
      <c r="Q3" s="651" t="s">
        <v>626</v>
      </c>
      <c r="R3" s="651" t="s">
        <v>627</v>
      </c>
      <c r="S3" s="651" t="s">
        <v>628</v>
      </c>
    </row>
    <row r="4" spans="1:19" x14ac:dyDescent="0.3">
      <c r="A4" s="340">
        <v>1</v>
      </c>
      <c r="B4" s="652">
        <v>14923.37</v>
      </c>
      <c r="C4" s="652">
        <v>6662.14</v>
      </c>
      <c r="D4" s="653">
        <v>0.44640000000000002</v>
      </c>
      <c r="E4" s="369" t="s">
        <v>629</v>
      </c>
      <c r="F4" s="369"/>
      <c r="H4" s="654">
        <f>C4/B4</f>
        <v>0.44640000000000002</v>
      </c>
      <c r="K4" s="686"/>
      <c r="L4" s="655"/>
      <c r="M4" s="656"/>
      <c r="N4" s="657"/>
      <c r="O4" s="658"/>
      <c r="Q4" s="656"/>
      <c r="R4" s="657"/>
      <c r="S4" s="658"/>
    </row>
    <row r="5" spans="1:19" x14ac:dyDescent="0.3">
      <c r="A5" s="340">
        <v>2</v>
      </c>
      <c r="B5" s="652">
        <v>4677.6000000000004</v>
      </c>
      <c r="C5" s="652">
        <v>2122.34</v>
      </c>
      <c r="D5" s="653">
        <v>0.45369999999999999</v>
      </c>
      <c r="E5" s="369" t="s">
        <v>630</v>
      </c>
      <c r="F5" s="369"/>
      <c r="H5" s="654">
        <f>C5/B5</f>
        <v>0.45369999999999999</v>
      </c>
      <c r="K5" s="686"/>
      <c r="L5" s="50"/>
    </row>
    <row r="6" spans="1:19" x14ac:dyDescent="0.3">
      <c r="A6" s="340">
        <v>3</v>
      </c>
      <c r="B6" s="652">
        <v>54312.69</v>
      </c>
      <c r="C6" s="652">
        <v>24453.26</v>
      </c>
      <c r="D6" s="653">
        <v>0.45019999999999999</v>
      </c>
      <c r="E6" s="369" t="s">
        <v>631</v>
      </c>
      <c r="F6" s="369"/>
      <c r="H6" s="654">
        <f>C6/B6</f>
        <v>0.45019999999999999</v>
      </c>
      <c r="K6" s="686"/>
      <c r="L6" s="50"/>
    </row>
    <row r="7" spans="1:19" x14ac:dyDescent="0.3">
      <c r="H7" s="339"/>
      <c r="K7" s="686"/>
      <c r="L7" s="50"/>
    </row>
    <row r="8" spans="1:19" x14ac:dyDescent="0.3">
      <c r="K8" s="686"/>
      <c r="L8" s="50"/>
    </row>
    <row r="9" spans="1:19" ht="15" x14ac:dyDescent="0.25">
      <c r="A9" s="659" t="s">
        <v>632</v>
      </c>
      <c r="B9" s="659"/>
      <c r="C9" s="659"/>
      <c r="D9" s="659"/>
      <c r="E9" s="659"/>
      <c r="F9" s="659"/>
      <c r="G9" s="251"/>
      <c r="H9" s="659" t="s">
        <v>633</v>
      </c>
      <c r="I9" s="659"/>
      <c r="J9" s="659"/>
      <c r="K9" s="660" t="s">
        <v>634</v>
      </c>
      <c r="L9" s="661"/>
      <c r="M9" s="662" t="s">
        <v>635</v>
      </c>
      <c r="N9" s="662"/>
      <c r="O9" s="662"/>
      <c r="Q9" s="662" t="s">
        <v>635</v>
      </c>
      <c r="R9" s="662"/>
      <c r="S9" s="662"/>
    </row>
    <row r="10" spans="1:19" s="668" customFormat="1" ht="47.25" customHeight="1" x14ac:dyDescent="0.25">
      <c r="A10" s="663" t="s">
        <v>636</v>
      </c>
      <c r="B10" s="664" t="s">
        <v>637</v>
      </c>
      <c r="C10" s="663" t="s">
        <v>638</v>
      </c>
      <c r="D10" s="664" t="s">
        <v>639</v>
      </c>
      <c r="E10" s="665" t="s">
        <v>640</v>
      </c>
      <c r="F10" s="666"/>
      <c r="G10" s="667"/>
      <c r="H10" s="664" t="s">
        <v>639</v>
      </c>
      <c r="I10" s="665" t="s">
        <v>640</v>
      </c>
      <c r="J10" s="666"/>
      <c r="K10" s="687"/>
      <c r="M10" s="669" t="s">
        <v>631</v>
      </c>
      <c r="N10" s="669" t="s">
        <v>629</v>
      </c>
      <c r="O10" s="669" t="s">
        <v>630</v>
      </c>
      <c r="Q10" s="669" t="s">
        <v>631</v>
      </c>
      <c r="R10" s="669" t="s">
        <v>629</v>
      </c>
      <c r="S10" s="669" t="s">
        <v>630</v>
      </c>
    </row>
    <row r="11" spans="1:19" s="668" customFormat="1" ht="159.75" customHeight="1" x14ac:dyDescent="0.25">
      <c r="A11" s="670">
        <v>1</v>
      </c>
      <c r="B11" s="671" t="s">
        <v>641</v>
      </c>
      <c r="C11" s="672" t="s">
        <v>642</v>
      </c>
      <c r="D11" s="671" t="s">
        <v>643</v>
      </c>
      <c r="E11" s="673" t="s">
        <v>644</v>
      </c>
      <c r="F11" s="674"/>
      <c r="G11" s="667"/>
      <c r="H11" s="675" t="s">
        <v>645</v>
      </c>
      <c r="I11" s="673" t="s">
        <v>644</v>
      </c>
      <c r="J11" s="674"/>
      <c r="K11" s="688">
        <v>14.5</v>
      </c>
      <c r="M11" s="691">
        <v>14</v>
      </c>
      <c r="N11" s="691">
        <v>7</v>
      </c>
      <c r="O11" s="691">
        <v>5</v>
      </c>
      <c r="Q11" s="697">
        <f>M11*K11</f>
        <v>203</v>
      </c>
      <c r="R11" s="697">
        <f>N11*K11</f>
        <v>101.5</v>
      </c>
      <c r="S11" s="697">
        <f>O11*K11</f>
        <v>72.5</v>
      </c>
    </row>
    <row r="12" spans="1:19" s="668" customFormat="1" ht="62.25" customHeight="1" x14ac:dyDescent="0.25">
      <c r="A12" s="670">
        <v>2</v>
      </c>
      <c r="B12" s="671" t="s">
        <v>646</v>
      </c>
      <c r="C12" s="672" t="s">
        <v>642</v>
      </c>
      <c r="D12" s="671" t="s">
        <v>647</v>
      </c>
      <c r="E12" s="673" t="s">
        <v>644</v>
      </c>
      <c r="F12" s="674"/>
      <c r="G12" s="667"/>
      <c r="H12" s="675" t="s">
        <v>648</v>
      </c>
      <c r="I12" s="673" t="s">
        <v>644</v>
      </c>
      <c r="J12" s="674"/>
      <c r="K12" s="688">
        <v>4.5</v>
      </c>
      <c r="M12" s="691">
        <v>5</v>
      </c>
      <c r="N12" s="691">
        <v>3</v>
      </c>
      <c r="O12" s="691">
        <v>1</v>
      </c>
      <c r="Q12" s="697">
        <f t="shared" ref="Q12:Q69" si="0">M12*K12</f>
        <v>22.5</v>
      </c>
      <c r="R12" s="697">
        <f t="shared" ref="R12:R69" si="1">N12*K12</f>
        <v>13.5</v>
      </c>
      <c r="S12" s="697">
        <f t="shared" ref="S12:S69" si="2">O12*K12</f>
        <v>4.5</v>
      </c>
    </row>
    <row r="13" spans="1:19" s="668" customFormat="1" ht="68.25" customHeight="1" x14ac:dyDescent="0.25">
      <c r="A13" s="670">
        <v>3</v>
      </c>
      <c r="B13" s="671" t="s">
        <v>649</v>
      </c>
      <c r="C13" s="672" t="s">
        <v>642</v>
      </c>
      <c r="D13" s="671" t="s">
        <v>650</v>
      </c>
      <c r="E13" s="673" t="s">
        <v>644</v>
      </c>
      <c r="F13" s="674"/>
      <c r="G13" s="667"/>
      <c r="H13" s="675" t="s">
        <v>651</v>
      </c>
      <c r="I13" s="673" t="s">
        <v>644</v>
      </c>
      <c r="J13" s="674"/>
      <c r="K13" s="688">
        <v>8.5</v>
      </c>
      <c r="M13" s="691">
        <v>2</v>
      </c>
      <c r="N13" s="691">
        <v>1</v>
      </c>
      <c r="O13" s="691">
        <v>1</v>
      </c>
      <c r="Q13" s="697">
        <f t="shared" si="0"/>
        <v>17</v>
      </c>
      <c r="R13" s="697">
        <f t="shared" si="1"/>
        <v>8.5</v>
      </c>
      <c r="S13" s="697">
        <f t="shared" si="2"/>
        <v>8.5</v>
      </c>
    </row>
    <row r="14" spans="1:19" s="668" customFormat="1" ht="89.25" customHeight="1" x14ac:dyDescent="0.25">
      <c r="A14" s="670">
        <v>4</v>
      </c>
      <c r="B14" s="671" t="s">
        <v>652</v>
      </c>
      <c r="C14" s="672" t="s">
        <v>653</v>
      </c>
      <c r="D14" s="671" t="s">
        <v>654</v>
      </c>
      <c r="E14" s="673" t="s">
        <v>655</v>
      </c>
      <c r="F14" s="674"/>
      <c r="G14" s="667"/>
      <c r="H14" s="675" t="s">
        <v>656</v>
      </c>
      <c r="I14" s="673" t="s">
        <v>655</v>
      </c>
      <c r="J14" s="674"/>
      <c r="K14" s="688">
        <v>6.5</v>
      </c>
      <c r="M14" s="692">
        <f>20*H6</f>
        <v>9</v>
      </c>
      <c r="N14" s="692">
        <v>2</v>
      </c>
      <c r="O14" s="692">
        <v>1</v>
      </c>
      <c r="Q14" s="697">
        <f t="shared" si="0"/>
        <v>58.5</v>
      </c>
      <c r="R14" s="697">
        <f t="shared" si="1"/>
        <v>13</v>
      </c>
      <c r="S14" s="697">
        <f t="shared" si="2"/>
        <v>6.5</v>
      </c>
    </row>
    <row r="15" spans="1:19" s="668" customFormat="1" ht="127.5" customHeight="1" x14ac:dyDescent="0.25">
      <c r="A15" s="670">
        <v>5</v>
      </c>
      <c r="B15" s="671" t="s">
        <v>657</v>
      </c>
      <c r="C15" s="672" t="s">
        <v>653</v>
      </c>
      <c r="D15" s="671" t="s">
        <v>658</v>
      </c>
      <c r="E15" s="673" t="s">
        <v>655</v>
      </c>
      <c r="F15" s="674"/>
      <c r="G15" s="667"/>
      <c r="H15" s="675" t="s">
        <v>659</v>
      </c>
      <c r="I15" s="673" t="s">
        <v>655</v>
      </c>
      <c r="J15" s="674"/>
      <c r="K15" s="688">
        <v>26.5</v>
      </c>
      <c r="M15" s="692">
        <f>20*H6</f>
        <v>9</v>
      </c>
      <c r="N15" s="692">
        <v>1</v>
      </c>
      <c r="O15" s="692">
        <v>1</v>
      </c>
      <c r="Q15" s="697">
        <f t="shared" si="0"/>
        <v>238.5</v>
      </c>
      <c r="R15" s="697">
        <f t="shared" si="1"/>
        <v>26.5</v>
      </c>
      <c r="S15" s="697">
        <f t="shared" si="2"/>
        <v>26.5</v>
      </c>
    </row>
    <row r="16" spans="1:19" s="668" customFormat="1" ht="123" customHeight="1" x14ac:dyDescent="0.25">
      <c r="A16" s="670">
        <v>6</v>
      </c>
      <c r="B16" s="671" t="s">
        <v>660</v>
      </c>
      <c r="C16" s="671" t="s">
        <v>661</v>
      </c>
      <c r="D16" s="671" t="s">
        <v>662</v>
      </c>
      <c r="E16" s="673" t="s">
        <v>644</v>
      </c>
      <c r="F16" s="674"/>
      <c r="G16" s="667"/>
      <c r="H16" s="675" t="s">
        <v>663</v>
      </c>
      <c r="I16" s="673" t="s">
        <v>644</v>
      </c>
      <c r="J16" s="674"/>
      <c r="K16" s="688">
        <v>89.9</v>
      </c>
      <c r="M16" s="691">
        <v>27</v>
      </c>
      <c r="N16" s="691">
        <v>4</v>
      </c>
      <c r="O16" s="691">
        <v>1</v>
      </c>
      <c r="Q16" s="697">
        <f t="shared" si="0"/>
        <v>2427.3000000000002</v>
      </c>
      <c r="R16" s="697">
        <f t="shared" si="1"/>
        <v>359.6</v>
      </c>
      <c r="S16" s="697">
        <f t="shared" si="2"/>
        <v>89.9</v>
      </c>
    </row>
    <row r="17" spans="1:19" s="668" customFormat="1" ht="123" customHeight="1" x14ac:dyDescent="0.25">
      <c r="A17" s="670">
        <v>7</v>
      </c>
      <c r="B17" s="671" t="s">
        <v>664</v>
      </c>
      <c r="C17" s="671" t="s">
        <v>665</v>
      </c>
      <c r="D17" s="671" t="s">
        <v>666</v>
      </c>
      <c r="E17" s="673" t="s">
        <v>644</v>
      </c>
      <c r="F17" s="674"/>
      <c r="G17" s="667"/>
      <c r="H17" s="675" t="s">
        <v>667</v>
      </c>
      <c r="I17" s="673" t="s">
        <v>644</v>
      </c>
      <c r="J17" s="674"/>
      <c r="K17" s="688">
        <v>17.5</v>
      </c>
      <c r="M17" s="691">
        <v>45</v>
      </c>
      <c r="N17" s="691">
        <v>14</v>
      </c>
      <c r="O17" s="691">
        <v>7</v>
      </c>
      <c r="Q17" s="697">
        <f t="shared" si="0"/>
        <v>787.5</v>
      </c>
      <c r="R17" s="697">
        <f t="shared" si="1"/>
        <v>245</v>
      </c>
      <c r="S17" s="697">
        <f t="shared" si="2"/>
        <v>122.5</v>
      </c>
    </row>
    <row r="18" spans="1:19" s="668" customFormat="1" ht="71.25" customHeight="1" x14ac:dyDescent="0.25">
      <c r="A18" s="670">
        <v>8</v>
      </c>
      <c r="B18" s="671" t="s">
        <v>668</v>
      </c>
      <c r="C18" s="671" t="s">
        <v>669</v>
      </c>
      <c r="D18" s="671" t="s">
        <v>670</v>
      </c>
      <c r="E18" s="673" t="s">
        <v>644</v>
      </c>
      <c r="F18" s="674"/>
      <c r="G18" s="667"/>
      <c r="H18" s="675" t="s">
        <v>671</v>
      </c>
      <c r="I18" s="673" t="s">
        <v>644</v>
      </c>
      <c r="J18" s="674"/>
      <c r="K18" s="688">
        <v>1.05</v>
      </c>
      <c r="M18" s="691">
        <v>90</v>
      </c>
      <c r="N18" s="691">
        <v>23</v>
      </c>
      <c r="O18" s="691">
        <v>7</v>
      </c>
      <c r="Q18" s="697">
        <f t="shared" si="0"/>
        <v>94.5</v>
      </c>
      <c r="R18" s="697">
        <f t="shared" si="1"/>
        <v>24.15</v>
      </c>
      <c r="S18" s="697">
        <f t="shared" si="2"/>
        <v>7.35</v>
      </c>
    </row>
    <row r="19" spans="1:19" s="668" customFormat="1" ht="113.25" customHeight="1" x14ac:dyDescent="0.25">
      <c r="A19" s="670">
        <v>9</v>
      </c>
      <c r="B19" s="671" t="s">
        <v>672</v>
      </c>
      <c r="C19" s="671" t="s">
        <v>673</v>
      </c>
      <c r="D19" s="671" t="s">
        <v>674</v>
      </c>
      <c r="E19" s="673" t="s">
        <v>644</v>
      </c>
      <c r="F19" s="674"/>
      <c r="G19" s="667"/>
      <c r="H19" s="675" t="s">
        <v>675</v>
      </c>
      <c r="I19" s="673" t="s">
        <v>644</v>
      </c>
      <c r="J19" s="674"/>
      <c r="K19" s="688">
        <v>22.5</v>
      </c>
      <c r="M19" s="691">
        <v>18</v>
      </c>
      <c r="N19" s="691">
        <v>13</v>
      </c>
      <c r="O19" s="691">
        <v>5</v>
      </c>
      <c r="Q19" s="697">
        <f t="shared" si="0"/>
        <v>405</v>
      </c>
      <c r="R19" s="697">
        <f t="shared" si="1"/>
        <v>292.5</v>
      </c>
      <c r="S19" s="697">
        <f t="shared" si="2"/>
        <v>112.5</v>
      </c>
    </row>
    <row r="20" spans="1:19" s="668" customFormat="1" ht="79.5" customHeight="1" x14ac:dyDescent="0.25">
      <c r="A20" s="670">
        <v>10</v>
      </c>
      <c r="B20" s="671" t="s">
        <v>676</v>
      </c>
      <c r="C20" s="671" t="s">
        <v>677</v>
      </c>
      <c r="D20" s="671" t="s">
        <v>678</v>
      </c>
      <c r="E20" s="673" t="s">
        <v>679</v>
      </c>
      <c r="F20" s="674"/>
      <c r="G20" s="667"/>
      <c r="H20" s="675" t="s">
        <v>680</v>
      </c>
      <c r="I20" s="673" t="s">
        <v>679</v>
      </c>
      <c r="J20" s="674"/>
      <c r="K20" s="688">
        <v>39.5</v>
      </c>
      <c r="M20" s="691">
        <v>7</v>
      </c>
      <c r="N20" s="691">
        <v>0</v>
      </c>
      <c r="O20" s="691">
        <v>0</v>
      </c>
      <c r="Q20" s="697">
        <f t="shared" si="0"/>
        <v>276.5</v>
      </c>
      <c r="R20" s="697">
        <f t="shared" si="1"/>
        <v>0</v>
      </c>
      <c r="S20" s="697">
        <f t="shared" si="2"/>
        <v>0</v>
      </c>
    </row>
    <row r="21" spans="1:19" s="668" customFormat="1" ht="83.25" customHeight="1" x14ac:dyDescent="0.25">
      <c r="A21" s="670">
        <v>11</v>
      </c>
      <c r="B21" s="671" t="s">
        <v>681</v>
      </c>
      <c r="C21" s="671" t="s">
        <v>677</v>
      </c>
      <c r="D21" s="671" t="s">
        <v>682</v>
      </c>
      <c r="E21" s="673" t="s">
        <v>683</v>
      </c>
      <c r="F21" s="674"/>
      <c r="G21" s="667"/>
      <c r="H21" s="675" t="s">
        <v>684</v>
      </c>
      <c r="I21" s="673" t="s">
        <v>683</v>
      </c>
      <c r="J21" s="674"/>
      <c r="K21" s="688">
        <v>2</v>
      </c>
      <c r="M21" s="693">
        <v>3</v>
      </c>
      <c r="N21" s="693">
        <v>2</v>
      </c>
      <c r="O21" s="693">
        <v>4</v>
      </c>
      <c r="Q21" s="697">
        <f t="shared" si="0"/>
        <v>6</v>
      </c>
      <c r="R21" s="697">
        <f t="shared" si="1"/>
        <v>4</v>
      </c>
      <c r="S21" s="697">
        <f t="shared" si="2"/>
        <v>8</v>
      </c>
    </row>
    <row r="22" spans="1:19" s="668" customFormat="1" ht="52.5" customHeight="1" x14ac:dyDescent="0.25">
      <c r="A22" s="670">
        <v>12</v>
      </c>
      <c r="B22" s="671" t="s">
        <v>685</v>
      </c>
      <c r="C22" s="671" t="s">
        <v>677</v>
      </c>
      <c r="D22" s="671" t="s">
        <v>686</v>
      </c>
      <c r="E22" s="673" t="s">
        <v>687</v>
      </c>
      <c r="F22" s="674"/>
      <c r="G22" s="667"/>
      <c r="H22" s="675" t="s">
        <v>688</v>
      </c>
      <c r="I22" s="673" t="s">
        <v>687</v>
      </c>
      <c r="J22" s="674"/>
      <c r="K22" s="688">
        <v>4.5</v>
      </c>
      <c r="M22" s="692">
        <v>7</v>
      </c>
      <c r="N22" s="692">
        <v>3</v>
      </c>
      <c r="O22" s="692">
        <v>2</v>
      </c>
      <c r="Q22" s="697">
        <f t="shared" si="0"/>
        <v>31.5</v>
      </c>
      <c r="R22" s="697">
        <f t="shared" si="1"/>
        <v>13.5</v>
      </c>
      <c r="S22" s="697">
        <f t="shared" si="2"/>
        <v>9</v>
      </c>
    </row>
    <row r="23" spans="1:19" s="668" customFormat="1" ht="69" customHeight="1" x14ac:dyDescent="0.25">
      <c r="A23" s="670">
        <v>13</v>
      </c>
      <c r="B23" s="671" t="s">
        <v>689</v>
      </c>
      <c r="C23" s="671" t="s">
        <v>677</v>
      </c>
      <c r="D23" s="671" t="s">
        <v>690</v>
      </c>
      <c r="E23" s="673" t="s">
        <v>679</v>
      </c>
      <c r="F23" s="674"/>
      <c r="G23" s="667"/>
      <c r="H23" s="675" t="s">
        <v>691</v>
      </c>
      <c r="I23" s="673" t="s">
        <v>679</v>
      </c>
      <c r="J23" s="674"/>
      <c r="K23" s="688">
        <v>1.5</v>
      </c>
      <c r="M23" s="691">
        <v>5</v>
      </c>
      <c r="N23" s="691">
        <v>3</v>
      </c>
      <c r="O23" s="691">
        <v>2</v>
      </c>
      <c r="Q23" s="697">
        <f t="shared" si="0"/>
        <v>7.5</v>
      </c>
      <c r="R23" s="697">
        <f t="shared" si="1"/>
        <v>4.5</v>
      </c>
      <c r="S23" s="697">
        <f t="shared" si="2"/>
        <v>3</v>
      </c>
    </row>
    <row r="24" spans="1:19" s="668" customFormat="1" ht="77.25" customHeight="1" x14ac:dyDescent="0.25">
      <c r="A24" s="670">
        <v>14</v>
      </c>
      <c r="B24" s="671" t="s">
        <v>692</v>
      </c>
      <c r="C24" s="671" t="s">
        <v>677</v>
      </c>
      <c r="D24" s="671" t="s">
        <v>693</v>
      </c>
      <c r="E24" s="673" t="s">
        <v>679</v>
      </c>
      <c r="F24" s="674"/>
      <c r="G24" s="667"/>
      <c r="H24" s="675" t="s">
        <v>694</v>
      </c>
      <c r="I24" s="673" t="s">
        <v>679</v>
      </c>
      <c r="J24" s="674"/>
      <c r="K24" s="688">
        <v>0.99</v>
      </c>
      <c r="M24" s="691">
        <v>23</v>
      </c>
      <c r="N24" s="691">
        <v>3</v>
      </c>
      <c r="O24" s="691">
        <v>2</v>
      </c>
      <c r="Q24" s="697">
        <f t="shared" si="0"/>
        <v>22.77</v>
      </c>
      <c r="R24" s="697">
        <f t="shared" si="1"/>
        <v>2.97</v>
      </c>
      <c r="S24" s="697">
        <f t="shared" si="2"/>
        <v>1.98</v>
      </c>
    </row>
    <row r="25" spans="1:19" s="668" customFormat="1" ht="68.25" customHeight="1" x14ac:dyDescent="0.25">
      <c r="A25" s="670">
        <v>15</v>
      </c>
      <c r="B25" s="671" t="s">
        <v>695</v>
      </c>
      <c r="C25" s="671" t="s">
        <v>677</v>
      </c>
      <c r="D25" s="671" t="s">
        <v>696</v>
      </c>
      <c r="E25" s="673" t="s">
        <v>679</v>
      </c>
      <c r="F25" s="674"/>
      <c r="G25" s="667"/>
      <c r="H25" s="675" t="s">
        <v>697</v>
      </c>
      <c r="I25" s="673" t="s">
        <v>679</v>
      </c>
      <c r="J25" s="674"/>
      <c r="K25" s="688">
        <v>1.5</v>
      </c>
      <c r="M25" s="691">
        <f>20*H6</f>
        <v>9</v>
      </c>
      <c r="N25" s="691">
        <v>3</v>
      </c>
      <c r="O25" s="691">
        <v>2</v>
      </c>
      <c r="Q25" s="697">
        <f t="shared" si="0"/>
        <v>13.5</v>
      </c>
      <c r="R25" s="697">
        <f t="shared" si="1"/>
        <v>4.5</v>
      </c>
      <c r="S25" s="697">
        <f t="shared" si="2"/>
        <v>3</v>
      </c>
    </row>
    <row r="26" spans="1:19" s="668" customFormat="1" ht="72" customHeight="1" x14ac:dyDescent="0.25">
      <c r="A26" s="670">
        <v>16</v>
      </c>
      <c r="B26" s="671" t="s">
        <v>698</v>
      </c>
      <c r="C26" s="671" t="s">
        <v>677</v>
      </c>
      <c r="D26" s="671" t="s">
        <v>699</v>
      </c>
      <c r="E26" s="673" t="s">
        <v>679</v>
      </c>
      <c r="F26" s="674"/>
      <c r="G26" s="667"/>
      <c r="H26" s="675" t="s">
        <v>700</v>
      </c>
      <c r="I26" s="673" t="s">
        <v>679</v>
      </c>
      <c r="J26" s="674"/>
      <c r="K26" s="688">
        <v>13.5</v>
      </c>
      <c r="M26" s="691">
        <v>3</v>
      </c>
      <c r="N26" s="691">
        <v>2</v>
      </c>
      <c r="O26" s="691">
        <v>1</v>
      </c>
      <c r="Q26" s="697">
        <f t="shared" si="0"/>
        <v>40.5</v>
      </c>
      <c r="R26" s="697">
        <f t="shared" si="1"/>
        <v>27</v>
      </c>
      <c r="S26" s="697">
        <f t="shared" si="2"/>
        <v>13.5</v>
      </c>
    </row>
    <row r="27" spans="1:19" s="668" customFormat="1" ht="119.25" customHeight="1" x14ac:dyDescent="0.25">
      <c r="A27" s="670">
        <v>17</v>
      </c>
      <c r="B27" s="671" t="s">
        <v>701</v>
      </c>
      <c r="C27" s="672" t="s">
        <v>702</v>
      </c>
      <c r="D27" s="671" t="s">
        <v>703</v>
      </c>
      <c r="E27" s="673" t="s">
        <v>679</v>
      </c>
      <c r="F27" s="674"/>
      <c r="G27" s="667"/>
      <c r="H27" s="675" t="s">
        <v>704</v>
      </c>
      <c r="I27" s="673" t="s">
        <v>679</v>
      </c>
      <c r="J27" s="674"/>
      <c r="K27" s="688">
        <v>8.5</v>
      </c>
      <c r="M27" s="691">
        <v>23</v>
      </c>
      <c r="N27" s="691">
        <v>3</v>
      </c>
      <c r="O27" s="691">
        <v>2</v>
      </c>
      <c r="Q27" s="697">
        <f t="shared" si="0"/>
        <v>195.5</v>
      </c>
      <c r="R27" s="697">
        <f t="shared" si="1"/>
        <v>25.5</v>
      </c>
      <c r="S27" s="697">
        <f t="shared" si="2"/>
        <v>17</v>
      </c>
    </row>
    <row r="28" spans="1:19" s="668" customFormat="1" ht="69.75" customHeight="1" x14ac:dyDescent="0.25">
      <c r="A28" s="670">
        <v>18</v>
      </c>
      <c r="B28" s="671" t="s">
        <v>705</v>
      </c>
      <c r="C28" s="672" t="s">
        <v>677</v>
      </c>
      <c r="D28" s="671" t="s">
        <v>706</v>
      </c>
      <c r="E28" s="673" t="s">
        <v>687</v>
      </c>
      <c r="F28" s="674"/>
      <c r="G28" s="667"/>
      <c r="H28" s="675" t="s">
        <v>707</v>
      </c>
      <c r="I28" s="673" t="s">
        <v>687</v>
      </c>
      <c r="J28" s="674"/>
      <c r="K28" s="688">
        <v>6.5</v>
      </c>
      <c r="M28" s="676">
        <v>7</v>
      </c>
      <c r="N28" s="676">
        <v>2</v>
      </c>
      <c r="O28" s="676">
        <v>1</v>
      </c>
      <c r="Q28" s="697">
        <f t="shared" si="0"/>
        <v>45.5</v>
      </c>
      <c r="R28" s="697">
        <f t="shared" si="1"/>
        <v>13</v>
      </c>
      <c r="S28" s="697">
        <f t="shared" si="2"/>
        <v>6.5</v>
      </c>
    </row>
    <row r="29" spans="1:19" s="668" customFormat="1" ht="66.75" customHeight="1" x14ac:dyDescent="0.25">
      <c r="A29" s="670">
        <v>19</v>
      </c>
      <c r="B29" s="671" t="s">
        <v>708</v>
      </c>
      <c r="C29" s="672" t="s">
        <v>677</v>
      </c>
      <c r="D29" s="677" t="s">
        <v>709</v>
      </c>
      <c r="E29" s="673" t="s">
        <v>679</v>
      </c>
      <c r="F29" s="674"/>
      <c r="G29" s="667"/>
      <c r="H29" s="675" t="s">
        <v>710</v>
      </c>
      <c r="I29" s="673" t="s">
        <v>679</v>
      </c>
      <c r="J29" s="674"/>
      <c r="K29" s="688">
        <v>5.8</v>
      </c>
      <c r="M29" s="691">
        <v>14</v>
      </c>
      <c r="N29" s="691">
        <v>3</v>
      </c>
      <c r="O29" s="691">
        <v>2</v>
      </c>
      <c r="Q29" s="697">
        <f t="shared" si="0"/>
        <v>81.2</v>
      </c>
      <c r="R29" s="697">
        <f t="shared" si="1"/>
        <v>17.399999999999999</v>
      </c>
      <c r="S29" s="697">
        <f t="shared" si="2"/>
        <v>11.6</v>
      </c>
    </row>
    <row r="30" spans="1:19" s="668" customFormat="1" ht="409.5" customHeight="1" x14ac:dyDescent="0.25">
      <c r="A30" s="670">
        <v>20</v>
      </c>
      <c r="B30" s="678" t="s">
        <v>711</v>
      </c>
      <c r="C30" s="672" t="s">
        <v>712</v>
      </c>
      <c r="D30" s="671" t="s">
        <v>713</v>
      </c>
      <c r="E30" s="673" t="s">
        <v>679</v>
      </c>
      <c r="F30" s="674"/>
      <c r="G30" s="667"/>
      <c r="H30" s="675" t="s">
        <v>714</v>
      </c>
      <c r="I30" s="673" t="s">
        <v>679</v>
      </c>
      <c r="J30" s="674"/>
      <c r="K30" s="688">
        <v>99.5</v>
      </c>
      <c r="M30" s="694">
        <v>12</v>
      </c>
      <c r="N30" s="694">
        <v>3</v>
      </c>
      <c r="O30" s="694">
        <v>1</v>
      </c>
      <c r="Q30" s="697">
        <f t="shared" si="0"/>
        <v>1194</v>
      </c>
      <c r="R30" s="697">
        <f t="shared" si="1"/>
        <v>298.5</v>
      </c>
      <c r="S30" s="697">
        <f t="shared" si="2"/>
        <v>99.5</v>
      </c>
    </row>
    <row r="31" spans="1:19" s="668" customFormat="1" ht="51.75" customHeight="1" x14ac:dyDescent="0.25">
      <c r="A31" s="670">
        <v>21</v>
      </c>
      <c r="B31" s="671" t="s">
        <v>715</v>
      </c>
      <c r="C31" s="672" t="s">
        <v>677</v>
      </c>
      <c r="D31" s="671" t="s">
        <v>716</v>
      </c>
      <c r="E31" s="673" t="s">
        <v>679</v>
      </c>
      <c r="F31" s="674"/>
      <c r="G31" s="667"/>
      <c r="H31" s="675" t="s">
        <v>717</v>
      </c>
      <c r="I31" s="673" t="s">
        <v>679</v>
      </c>
      <c r="J31" s="674"/>
      <c r="K31" s="688">
        <v>7.5</v>
      </c>
      <c r="M31" s="695"/>
      <c r="N31" s="695"/>
      <c r="O31" s="695"/>
      <c r="Q31" s="697">
        <f t="shared" si="0"/>
        <v>0</v>
      </c>
      <c r="R31" s="697">
        <f t="shared" si="1"/>
        <v>0</v>
      </c>
      <c r="S31" s="697">
        <f t="shared" si="2"/>
        <v>0</v>
      </c>
    </row>
    <row r="32" spans="1:19" s="668" customFormat="1" ht="146.25" customHeight="1" x14ac:dyDescent="0.25">
      <c r="A32" s="670">
        <v>22</v>
      </c>
      <c r="B32" s="671" t="s">
        <v>718</v>
      </c>
      <c r="C32" s="672" t="s">
        <v>677</v>
      </c>
      <c r="D32" s="671" t="s">
        <v>719</v>
      </c>
      <c r="E32" s="673" t="s">
        <v>679</v>
      </c>
      <c r="F32" s="674"/>
      <c r="G32" s="667"/>
      <c r="H32" s="675" t="s">
        <v>720</v>
      </c>
      <c r="I32" s="673" t="s">
        <v>679</v>
      </c>
      <c r="J32" s="674"/>
      <c r="K32" s="688">
        <v>8.5</v>
      </c>
      <c r="M32" s="691"/>
      <c r="N32" s="691"/>
      <c r="O32" s="691"/>
      <c r="Q32" s="697">
        <f t="shared" si="0"/>
        <v>0</v>
      </c>
      <c r="R32" s="697">
        <f t="shared" si="1"/>
        <v>0</v>
      </c>
      <c r="S32" s="697">
        <f t="shared" si="2"/>
        <v>0</v>
      </c>
    </row>
    <row r="33" spans="1:19" s="668" customFormat="1" ht="81" customHeight="1" x14ac:dyDescent="0.25">
      <c r="A33" s="670">
        <v>23</v>
      </c>
      <c r="B33" s="671" t="s">
        <v>721</v>
      </c>
      <c r="C33" s="672" t="s">
        <v>677</v>
      </c>
      <c r="D33" s="671" t="s">
        <v>722</v>
      </c>
      <c r="E33" s="673" t="s">
        <v>679</v>
      </c>
      <c r="F33" s="674"/>
      <c r="G33" s="667"/>
      <c r="H33" s="675" t="s">
        <v>723</v>
      </c>
      <c r="I33" s="673" t="s">
        <v>679</v>
      </c>
      <c r="J33" s="674"/>
      <c r="K33" s="688">
        <v>19.5</v>
      </c>
      <c r="M33" s="691">
        <v>4</v>
      </c>
      <c r="N33" s="691">
        <v>2</v>
      </c>
      <c r="O33" s="691">
        <v>1</v>
      </c>
      <c r="Q33" s="697">
        <f t="shared" si="0"/>
        <v>78</v>
      </c>
      <c r="R33" s="697">
        <f t="shared" si="1"/>
        <v>39</v>
      </c>
      <c r="S33" s="697">
        <f t="shared" si="2"/>
        <v>19.5</v>
      </c>
    </row>
    <row r="34" spans="1:19" s="668" customFormat="1" ht="83.25" customHeight="1" x14ac:dyDescent="0.25">
      <c r="A34" s="670">
        <v>24</v>
      </c>
      <c r="B34" s="671" t="s">
        <v>724</v>
      </c>
      <c r="C34" s="672" t="s">
        <v>677</v>
      </c>
      <c r="D34" s="671" t="s">
        <v>725</v>
      </c>
      <c r="E34" s="673" t="s">
        <v>679</v>
      </c>
      <c r="F34" s="674"/>
      <c r="G34" s="667"/>
      <c r="H34" s="675" t="s">
        <v>726</v>
      </c>
      <c r="I34" s="673" t="s">
        <v>679</v>
      </c>
      <c r="J34" s="674"/>
      <c r="K34" s="688">
        <v>45</v>
      </c>
      <c r="M34" s="691">
        <v>3</v>
      </c>
      <c r="N34" s="691">
        <v>1</v>
      </c>
      <c r="O34" s="691">
        <v>1</v>
      </c>
      <c r="Q34" s="697">
        <f t="shared" si="0"/>
        <v>135</v>
      </c>
      <c r="R34" s="697">
        <f t="shared" si="1"/>
        <v>45</v>
      </c>
      <c r="S34" s="697">
        <f t="shared" si="2"/>
        <v>45</v>
      </c>
    </row>
    <row r="35" spans="1:19" s="668" customFormat="1" ht="90" customHeight="1" x14ac:dyDescent="0.25">
      <c r="A35" s="670">
        <v>25</v>
      </c>
      <c r="B35" s="671" t="s">
        <v>727</v>
      </c>
      <c r="C35" s="672" t="s">
        <v>728</v>
      </c>
      <c r="D35" s="671" t="s">
        <v>729</v>
      </c>
      <c r="E35" s="673" t="s">
        <v>679</v>
      </c>
      <c r="F35" s="674"/>
      <c r="G35" s="667"/>
      <c r="H35" s="675" t="s">
        <v>700</v>
      </c>
      <c r="I35" s="673" t="s">
        <v>679</v>
      </c>
      <c r="J35" s="674"/>
      <c r="K35" s="688">
        <v>8.5</v>
      </c>
      <c r="M35" s="691">
        <v>5</v>
      </c>
      <c r="N35" s="691">
        <v>1</v>
      </c>
      <c r="O35" s="691">
        <v>1</v>
      </c>
      <c r="Q35" s="697">
        <f t="shared" si="0"/>
        <v>42.5</v>
      </c>
      <c r="R35" s="697">
        <f t="shared" si="1"/>
        <v>8.5</v>
      </c>
      <c r="S35" s="697">
        <f t="shared" si="2"/>
        <v>8.5</v>
      </c>
    </row>
    <row r="36" spans="1:19" s="668" customFormat="1" ht="88.5" customHeight="1" x14ac:dyDescent="0.25">
      <c r="A36" s="670">
        <v>26</v>
      </c>
      <c r="B36" s="671" t="s">
        <v>730</v>
      </c>
      <c r="C36" s="672" t="s">
        <v>677</v>
      </c>
      <c r="D36" s="671" t="s">
        <v>731</v>
      </c>
      <c r="E36" s="673" t="s">
        <v>679</v>
      </c>
      <c r="F36" s="674"/>
      <c r="G36" s="667"/>
      <c r="H36" s="675" t="s">
        <v>732</v>
      </c>
      <c r="I36" s="673" t="s">
        <v>679</v>
      </c>
      <c r="J36" s="674"/>
      <c r="K36" s="688">
        <v>12.5</v>
      </c>
      <c r="M36" s="691">
        <v>2</v>
      </c>
      <c r="N36" s="691">
        <v>2</v>
      </c>
      <c r="O36" s="691">
        <v>1</v>
      </c>
      <c r="Q36" s="697">
        <f t="shared" si="0"/>
        <v>25</v>
      </c>
      <c r="R36" s="697">
        <f t="shared" si="1"/>
        <v>25</v>
      </c>
      <c r="S36" s="697">
        <f t="shared" si="2"/>
        <v>12.5</v>
      </c>
    </row>
    <row r="37" spans="1:19" s="668" customFormat="1" ht="96" customHeight="1" x14ac:dyDescent="0.25">
      <c r="A37" s="670">
        <v>27</v>
      </c>
      <c r="B37" s="677" t="s">
        <v>733</v>
      </c>
      <c r="C37" s="672" t="s">
        <v>677</v>
      </c>
      <c r="D37" s="677" t="s">
        <v>734</v>
      </c>
      <c r="E37" s="673" t="s">
        <v>679</v>
      </c>
      <c r="F37" s="674"/>
      <c r="G37" s="667"/>
      <c r="H37" s="675" t="s">
        <v>735</v>
      </c>
      <c r="I37" s="673" t="s">
        <v>679</v>
      </c>
      <c r="J37" s="674"/>
      <c r="K37" s="688">
        <v>49.5</v>
      </c>
      <c r="M37" s="691">
        <v>1</v>
      </c>
      <c r="N37" s="691">
        <v>1</v>
      </c>
      <c r="O37" s="691">
        <v>1</v>
      </c>
      <c r="Q37" s="697">
        <f t="shared" si="0"/>
        <v>49.5</v>
      </c>
      <c r="R37" s="697">
        <f t="shared" si="1"/>
        <v>49.5</v>
      </c>
      <c r="S37" s="697">
        <f t="shared" si="2"/>
        <v>49.5</v>
      </c>
    </row>
    <row r="38" spans="1:19" s="668" customFormat="1" ht="408" customHeight="1" x14ac:dyDescent="0.25">
      <c r="A38" s="670">
        <v>28</v>
      </c>
      <c r="B38" s="683" t="s">
        <v>736</v>
      </c>
      <c r="C38" s="672" t="s">
        <v>737</v>
      </c>
      <c r="D38" s="677" t="s">
        <v>738</v>
      </c>
      <c r="E38" s="673" t="s">
        <v>644</v>
      </c>
      <c r="F38" s="674"/>
      <c r="G38" s="667"/>
      <c r="H38" s="675" t="s">
        <v>739</v>
      </c>
      <c r="I38" s="673" t="s">
        <v>644</v>
      </c>
      <c r="J38" s="674"/>
      <c r="K38" s="688">
        <v>14.5</v>
      </c>
      <c r="M38" s="691">
        <v>5</v>
      </c>
      <c r="N38" s="691">
        <v>3</v>
      </c>
      <c r="O38" s="691">
        <v>2</v>
      </c>
      <c r="Q38" s="697">
        <f t="shared" si="0"/>
        <v>72.5</v>
      </c>
      <c r="R38" s="697">
        <f t="shared" si="1"/>
        <v>43.5</v>
      </c>
      <c r="S38" s="697">
        <f t="shared" si="2"/>
        <v>29</v>
      </c>
    </row>
    <row r="39" spans="1:19" s="668" customFormat="1" ht="60" customHeight="1" x14ac:dyDescent="0.25">
      <c r="A39" s="670">
        <v>29</v>
      </c>
      <c r="B39" s="671" t="s">
        <v>740</v>
      </c>
      <c r="C39" s="672" t="s">
        <v>677</v>
      </c>
      <c r="D39" s="671" t="s">
        <v>741</v>
      </c>
      <c r="E39" s="680"/>
      <c r="F39" s="681"/>
      <c r="G39" s="667"/>
      <c r="H39" s="675" t="s">
        <v>742</v>
      </c>
      <c r="I39" s="680"/>
      <c r="J39" s="681"/>
      <c r="K39" s="689">
        <v>12.5</v>
      </c>
      <c r="M39" s="693">
        <f>20*H6</f>
        <v>9</v>
      </c>
      <c r="N39" s="693">
        <v>0</v>
      </c>
      <c r="O39" s="693">
        <v>0</v>
      </c>
      <c r="Q39" s="697">
        <f t="shared" si="0"/>
        <v>112.5</v>
      </c>
      <c r="R39" s="697">
        <f t="shared" si="1"/>
        <v>0</v>
      </c>
      <c r="S39" s="697">
        <f t="shared" si="2"/>
        <v>0</v>
      </c>
    </row>
    <row r="40" spans="1:19" s="668" customFormat="1" ht="79.5" customHeight="1" x14ac:dyDescent="0.25">
      <c r="A40" s="679"/>
      <c r="B40" s="671" t="s">
        <v>743</v>
      </c>
      <c r="C40" s="677"/>
      <c r="D40" s="671" t="s">
        <v>744</v>
      </c>
      <c r="E40" s="673" t="s">
        <v>683</v>
      </c>
      <c r="F40" s="674"/>
      <c r="G40" s="667"/>
      <c r="H40" s="675" t="s">
        <v>745</v>
      </c>
      <c r="I40" s="673" t="s">
        <v>683</v>
      </c>
      <c r="J40" s="674"/>
      <c r="K40" s="688">
        <v>6.5</v>
      </c>
      <c r="M40" s="693">
        <f>0</f>
        <v>0</v>
      </c>
      <c r="N40" s="693">
        <v>3</v>
      </c>
      <c r="O40" s="693">
        <v>3</v>
      </c>
      <c r="Q40" s="697">
        <f t="shared" si="0"/>
        <v>0</v>
      </c>
      <c r="R40" s="697">
        <f t="shared" si="1"/>
        <v>19.5</v>
      </c>
      <c r="S40" s="697">
        <f t="shared" si="2"/>
        <v>19.5</v>
      </c>
    </row>
    <row r="41" spans="1:19" s="668" customFormat="1" ht="81" customHeight="1" x14ac:dyDescent="0.25">
      <c r="A41" s="670">
        <v>30</v>
      </c>
      <c r="B41" s="671" t="s">
        <v>746</v>
      </c>
      <c r="C41" s="672" t="s">
        <v>677</v>
      </c>
      <c r="D41" s="677" t="s">
        <v>747</v>
      </c>
      <c r="E41" s="673" t="s">
        <v>683</v>
      </c>
      <c r="F41" s="674"/>
      <c r="G41" s="667"/>
      <c r="H41" s="675" t="s">
        <v>748</v>
      </c>
      <c r="I41" s="673" t="s">
        <v>683</v>
      </c>
      <c r="J41" s="674"/>
      <c r="K41" s="688">
        <v>24.5</v>
      </c>
      <c r="M41" s="693">
        <v>7</v>
      </c>
      <c r="N41" s="693">
        <v>2</v>
      </c>
      <c r="O41" s="693">
        <v>1</v>
      </c>
      <c r="Q41" s="697">
        <f t="shared" si="0"/>
        <v>171.5</v>
      </c>
      <c r="R41" s="697">
        <f t="shared" si="1"/>
        <v>49</v>
      </c>
      <c r="S41" s="697">
        <f t="shared" si="2"/>
        <v>24.5</v>
      </c>
    </row>
    <row r="42" spans="1:19" s="668" customFormat="1" ht="82.5" customHeight="1" x14ac:dyDescent="0.25">
      <c r="A42" s="670">
        <v>31</v>
      </c>
      <c r="B42" s="671" t="s">
        <v>749</v>
      </c>
      <c r="C42" s="672" t="s">
        <v>677</v>
      </c>
      <c r="D42" s="677" t="s">
        <v>750</v>
      </c>
      <c r="E42" s="673" t="s">
        <v>683</v>
      </c>
      <c r="F42" s="674"/>
      <c r="G42" s="667"/>
      <c r="H42" s="675" t="s">
        <v>751</v>
      </c>
      <c r="I42" s="673" t="s">
        <v>683</v>
      </c>
      <c r="J42" s="674"/>
      <c r="K42" s="688">
        <v>6.5</v>
      </c>
      <c r="M42" s="693">
        <f>20*H6</f>
        <v>9</v>
      </c>
      <c r="N42" s="693">
        <v>2</v>
      </c>
      <c r="O42" s="693">
        <v>2</v>
      </c>
      <c r="Q42" s="697">
        <f t="shared" si="0"/>
        <v>58.5</v>
      </c>
      <c r="R42" s="697">
        <f t="shared" si="1"/>
        <v>13</v>
      </c>
      <c r="S42" s="697">
        <f t="shared" si="2"/>
        <v>13</v>
      </c>
    </row>
    <row r="43" spans="1:19" s="668" customFormat="1" ht="59.25" customHeight="1" x14ac:dyDescent="0.25">
      <c r="A43" s="670">
        <v>32</v>
      </c>
      <c r="B43" s="671" t="s">
        <v>752</v>
      </c>
      <c r="C43" s="672" t="s">
        <v>677</v>
      </c>
      <c r="D43" s="677" t="s">
        <v>750</v>
      </c>
      <c r="E43" s="673" t="s">
        <v>683</v>
      </c>
      <c r="F43" s="674"/>
      <c r="G43" s="667"/>
      <c r="H43" s="675" t="s">
        <v>751</v>
      </c>
      <c r="I43" s="673" t="s">
        <v>683</v>
      </c>
      <c r="J43" s="674"/>
      <c r="K43" s="688">
        <v>10.5</v>
      </c>
      <c r="M43" s="693">
        <f>20*H6</f>
        <v>9</v>
      </c>
      <c r="N43" s="693">
        <v>2</v>
      </c>
      <c r="O43" s="693">
        <v>1</v>
      </c>
      <c r="Q43" s="697">
        <f t="shared" si="0"/>
        <v>94.5</v>
      </c>
      <c r="R43" s="697">
        <f t="shared" si="1"/>
        <v>21</v>
      </c>
      <c r="S43" s="697">
        <f t="shared" si="2"/>
        <v>10.5</v>
      </c>
    </row>
    <row r="44" spans="1:19" s="668" customFormat="1" ht="84" customHeight="1" x14ac:dyDescent="0.25">
      <c r="A44" s="670">
        <v>33</v>
      </c>
      <c r="B44" s="671" t="s">
        <v>753</v>
      </c>
      <c r="C44" s="672" t="s">
        <v>677</v>
      </c>
      <c r="D44" s="671" t="s">
        <v>706</v>
      </c>
      <c r="E44" s="673" t="s">
        <v>683</v>
      </c>
      <c r="F44" s="674"/>
      <c r="G44" s="667"/>
      <c r="H44" s="675" t="s">
        <v>707</v>
      </c>
      <c r="I44" s="673" t="s">
        <v>683</v>
      </c>
      <c r="J44" s="674"/>
      <c r="K44" s="688">
        <v>11</v>
      </c>
      <c r="M44" s="693">
        <v>7</v>
      </c>
      <c r="N44" s="693">
        <v>2</v>
      </c>
      <c r="O44" s="693">
        <v>1</v>
      </c>
      <c r="Q44" s="697">
        <f t="shared" si="0"/>
        <v>77</v>
      </c>
      <c r="R44" s="697">
        <f t="shared" si="1"/>
        <v>22</v>
      </c>
      <c r="S44" s="697">
        <f t="shared" si="2"/>
        <v>11</v>
      </c>
    </row>
    <row r="45" spans="1:19" s="668" customFormat="1" ht="66" customHeight="1" x14ac:dyDescent="0.25">
      <c r="A45" s="670">
        <v>34</v>
      </c>
      <c r="B45" s="671" t="s">
        <v>754</v>
      </c>
      <c r="C45" s="672" t="s">
        <v>677</v>
      </c>
      <c r="D45" s="671" t="s">
        <v>755</v>
      </c>
      <c r="E45" s="673" t="s">
        <v>687</v>
      </c>
      <c r="F45" s="674"/>
      <c r="G45" s="667"/>
      <c r="H45" s="675" t="s">
        <v>756</v>
      </c>
      <c r="I45" s="673" t="s">
        <v>687</v>
      </c>
      <c r="J45" s="674"/>
      <c r="K45" s="688">
        <v>25</v>
      </c>
      <c r="M45" s="692">
        <v>2</v>
      </c>
      <c r="N45" s="692">
        <v>1</v>
      </c>
      <c r="O45" s="692">
        <f>0</f>
        <v>0</v>
      </c>
      <c r="Q45" s="697">
        <f t="shared" si="0"/>
        <v>50</v>
      </c>
      <c r="R45" s="697">
        <f t="shared" si="1"/>
        <v>25</v>
      </c>
      <c r="S45" s="697">
        <f t="shared" si="2"/>
        <v>0</v>
      </c>
    </row>
    <row r="46" spans="1:19" s="668" customFormat="1" ht="81.75" customHeight="1" x14ac:dyDescent="0.25">
      <c r="A46" s="684">
        <v>35</v>
      </c>
      <c r="B46" s="671" t="s">
        <v>757</v>
      </c>
      <c r="C46" s="672" t="s">
        <v>677</v>
      </c>
      <c r="D46" s="677" t="s">
        <v>758</v>
      </c>
      <c r="E46" s="673" t="s">
        <v>683</v>
      </c>
      <c r="F46" s="674"/>
      <c r="G46" s="667"/>
      <c r="H46" s="675" t="s">
        <v>759</v>
      </c>
      <c r="I46" s="673" t="s">
        <v>683</v>
      </c>
      <c r="J46" s="674"/>
      <c r="K46" s="688">
        <v>22</v>
      </c>
      <c r="M46" s="693">
        <v>2</v>
      </c>
      <c r="N46" s="693">
        <f>0</f>
        <v>0</v>
      </c>
      <c r="O46" s="693">
        <f>0</f>
        <v>0</v>
      </c>
      <c r="Q46" s="697">
        <f t="shared" si="0"/>
        <v>44</v>
      </c>
      <c r="R46" s="697">
        <f t="shared" si="1"/>
        <v>0</v>
      </c>
      <c r="S46" s="697">
        <f t="shared" si="2"/>
        <v>0</v>
      </c>
    </row>
    <row r="47" spans="1:19" s="668" customFormat="1" ht="114.75" x14ac:dyDescent="0.25">
      <c r="A47" s="684">
        <v>36</v>
      </c>
      <c r="B47" s="671" t="s">
        <v>760</v>
      </c>
      <c r="C47" s="672" t="s">
        <v>677</v>
      </c>
      <c r="D47" s="671" t="s">
        <v>761</v>
      </c>
      <c r="E47" s="673" t="s">
        <v>762</v>
      </c>
      <c r="F47" s="674"/>
      <c r="G47" s="667"/>
      <c r="H47" s="675" t="s">
        <v>763</v>
      </c>
      <c r="I47" s="673" t="s">
        <v>762</v>
      </c>
      <c r="J47" s="674"/>
      <c r="K47" s="688">
        <v>0</v>
      </c>
      <c r="M47" s="696">
        <v>1</v>
      </c>
      <c r="N47" s="696"/>
      <c r="O47" s="696"/>
      <c r="Q47" s="697">
        <f t="shared" si="0"/>
        <v>0</v>
      </c>
      <c r="R47" s="697">
        <f t="shared" si="1"/>
        <v>0</v>
      </c>
      <c r="S47" s="697">
        <f t="shared" si="2"/>
        <v>0</v>
      </c>
    </row>
    <row r="48" spans="1:19" s="668" customFormat="1" ht="60.75" customHeight="1" x14ac:dyDescent="0.25">
      <c r="A48" s="684">
        <v>37</v>
      </c>
      <c r="B48" s="671" t="s">
        <v>764</v>
      </c>
      <c r="C48" s="672" t="s">
        <v>677</v>
      </c>
      <c r="D48" s="671" t="s">
        <v>765</v>
      </c>
      <c r="E48" s="673" t="s">
        <v>762</v>
      </c>
      <c r="F48" s="674"/>
      <c r="G48" s="667"/>
      <c r="H48" s="675" t="s">
        <v>766</v>
      </c>
      <c r="I48" s="673" t="s">
        <v>762</v>
      </c>
      <c r="J48" s="674"/>
      <c r="K48" s="688">
        <v>35</v>
      </c>
      <c r="M48" s="696">
        <v>20</v>
      </c>
      <c r="N48" s="696">
        <v>4</v>
      </c>
      <c r="O48" s="696">
        <v>1</v>
      </c>
      <c r="Q48" s="697">
        <f t="shared" si="0"/>
        <v>700</v>
      </c>
      <c r="R48" s="697">
        <f t="shared" si="1"/>
        <v>140</v>
      </c>
      <c r="S48" s="697">
        <f t="shared" si="2"/>
        <v>35</v>
      </c>
    </row>
    <row r="49" spans="1:19" s="668" customFormat="1" ht="67.5" customHeight="1" x14ac:dyDescent="0.25">
      <c r="A49" s="684">
        <v>38</v>
      </c>
      <c r="B49" s="671" t="s">
        <v>767</v>
      </c>
      <c r="C49" s="672" t="s">
        <v>677</v>
      </c>
      <c r="D49" s="671" t="s">
        <v>768</v>
      </c>
      <c r="E49" s="673" t="s">
        <v>762</v>
      </c>
      <c r="F49" s="674"/>
      <c r="G49" s="667"/>
      <c r="H49" s="675" t="s">
        <v>769</v>
      </c>
      <c r="I49" s="673" t="s">
        <v>762</v>
      </c>
      <c r="J49" s="674"/>
      <c r="K49" s="688">
        <v>35</v>
      </c>
      <c r="M49" s="696">
        <v>16</v>
      </c>
      <c r="N49" s="696">
        <v>4</v>
      </c>
      <c r="O49" s="696">
        <v>1</v>
      </c>
      <c r="Q49" s="697">
        <f t="shared" si="0"/>
        <v>560</v>
      </c>
      <c r="R49" s="697">
        <f t="shared" si="1"/>
        <v>140</v>
      </c>
      <c r="S49" s="697">
        <f t="shared" si="2"/>
        <v>35</v>
      </c>
    </row>
    <row r="50" spans="1:19" s="668" customFormat="1" ht="68.25" customHeight="1" x14ac:dyDescent="0.25">
      <c r="A50" s="684">
        <v>39</v>
      </c>
      <c r="B50" s="671" t="s">
        <v>770</v>
      </c>
      <c r="C50" s="672" t="s">
        <v>677</v>
      </c>
      <c r="D50" s="671" t="s">
        <v>771</v>
      </c>
      <c r="E50" s="673" t="s">
        <v>683</v>
      </c>
      <c r="F50" s="674"/>
      <c r="G50" s="667"/>
      <c r="H50" s="675" t="s">
        <v>726</v>
      </c>
      <c r="I50" s="673" t="s">
        <v>683</v>
      </c>
      <c r="J50" s="674"/>
      <c r="K50" s="688">
        <v>16.5</v>
      </c>
      <c r="M50" s="693">
        <v>2</v>
      </c>
      <c r="N50" s="693">
        <v>1</v>
      </c>
      <c r="O50" s="693">
        <v>1</v>
      </c>
      <c r="Q50" s="697">
        <f t="shared" si="0"/>
        <v>33</v>
      </c>
      <c r="R50" s="697">
        <f t="shared" si="1"/>
        <v>16.5</v>
      </c>
      <c r="S50" s="697">
        <f t="shared" si="2"/>
        <v>16.5</v>
      </c>
    </row>
    <row r="51" spans="1:19" s="668" customFormat="1" ht="114.75" x14ac:dyDescent="0.25">
      <c r="A51" s="684">
        <v>40</v>
      </c>
      <c r="B51" s="671" t="s">
        <v>772</v>
      </c>
      <c r="C51" s="672" t="s">
        <v>773</v>
      </c>
      <c r="D51" s="677" t="s">
        <v>774</v>
      </c>
      <c r="E51" s="673" t="s">
        <v>679</v>
      </c>
      <c r="F51" s="674"/>
      <c r="G51" s="667"/>
      <c r="H51" s="675" t="s">
        <v>775</v>
      </c>
      <c r="I51" s="673" t="s">
        <v>679</v>
      </c>
      <c r="J51" s="674"/>
      <c r="K51" s="688">
        <v>5.5</v>
      </c>
      <c r="M51" s="691">
        <v>11</v>
      </c>
      <c r="N51" s="691">
        <v>3</v>
      </c>
      <c r="O51" s="691">
        <v>2</v>
      </c>
      <c r="Q51" s="697">
        <f t="shared" si="0"/>
        <v>60.5</v>
      </c>
      <c r="R51" s="697">
        <f t="shared" si="1"/>
        <v>16.5</v>
      </c>
      <c r="S51" s="697">
        <f t="shared" si="2"/>
        <v>11</v>
      </c>
    </row>
    <row r="52" spans="1:19" s="668" customFormat="1" ht="54.75" customHeight="1" x14ac:dyDescent="0.25">
      <c r="A52" s="684">
        <v>41</v>
      </c>
      <c r="B52" s="671" t="s">
        <v>776</v>
      </c>
      <c r="C52" s="672" t="s">
        <v>677</v>
      </c>
      <c r="D52" s="671" t="s">
        <v>777</v>
      </c>
      <c r="E52" s="673" t="s">
        <v>762</v>
      </c>
      <c r="F52" s="674"/>
      <c r="G52" s="667"/>
      <c r="H52" s="675" t="s">
        <v>778</v>
      </c>
      <c r="I52" s="673" t="s">
        <v>762</v>
      </c>
      <c r="J52" s="674"/>
      <c r="K52" s="688">
        <v>101</v>
      </c>
      <c r="M52" s="696">
        <v>2</v>
      </c>
      <c r="N52" s="696">
        <v>1</v>
      </c>
      <c r="O52" s="696">
        <v>1</v>
      </c>
      <c r="Q52" s="697">
        <f t="shared" si="0"/>
        <v>202</v>
      </c>
      <c r="R52" s="697">
        <f t="shared" si="1"/>
        <v>101</v>
      </c>
      <c r="S52" s="697">
        <f t="shared" si="2"/>
        <v>101</v>
      </c>
    </row>
    <row r="53" spans="1:19" s="668" customFormat="1" ht="57.75" customHeight="1" x14ac:dyDescent="0.25">
      <c r="A53" s="684">
        <v>42</v>
      </c>
      <c r="B53" s="671" t="s">
        <v>779</v>
      </c>
      <c r="C53" s="672" t="s">
        <v>677</v>
      </c>
      <c r="D53" s="671" t="s">
        <v>780</v>
      </c>
      <c r="E53" s="673" t="s">
        <v>762</v>
      </c>
      <c r="F53" s="674"/>
      <c r="G53" s="667"/>
      <c r="H53" s="675" t="s">
        <v>732</v>
      </c>
      <c r="I53" s="673" t="s">
        <v>762</v>
      </c>
      <c r="J53" s="674"/>
      <c r="K53" s="688">
        <v>45</v>
      </c>
      <c r="M53" s="696">
        <v>3</v>
      </c>
      <c r="N53" s="696">
        <v>2</v>
      </c>
      <c r="O53" s="696">
        <v>1</v>
      </c>
      <c r="Q53" s="697">
        <f t="shared" si="0"/>
        <v>135</v>
      </c>
      <c r="R53" s="697">
        <f t="shared" si="1"/>
        <v>90</v>
      </c>
      <c r="S53" s="697">
        <f t="shared" si="2"/>
        <v>45</v>
      </c>
    </row>
    <row r="54" spans="1:19" s="668" customFormat="1" ht="83.25" customHeight="1" x14ac:dyDescent="0.25">
      <c r="A54" s="684">
        <v>43</v>
      </c>
      <c r="B54" s="671" t="s">
        <v>781</v>
      </c>
      <c r="C54" s="672" t="s">
        <v>677</v>
      </c>
      <c r="D54" s="671" t="s">
        <v>782</v>
      </c>
      <c r="E54" s="673" t="s">
        <v>762</v>
      </c>
      <c r="F54" s="674"/>
      <c r="G54" s="667"/>
      <c r="H54" s="675" t="s">
        <v>783</v>
      </c>
      <c r="I54" s="673" t="s">
        <v>762</v>
      </c>
      <c r="J54" s="674"/>
      <c r="K54" s="688">
        <v>45</v>
      </c>
      <c r="M54" s="696">
        <f>0</f>
        <v>0</v>
      </c>
      <c r="N54" s="696">
        <v>2</v>
      </c>
      <c r="O54" s="696">
        <v>2</v>
      </c>
      <c r="Q54" s="697">
        <f t="shared" si="0"/>
        <v>0</v>
      </c>
      <c r="R54" s="697">
        <f t="shared" si="1"/>
        <v>90</v>
      </c>
      <c r="S54" s="697">
        <f t="shared" si="2"/>
        <v>90</v>
      </c>
    </row>
    <row r="55" spans="1:19" s="668" customFormat="1" ht="83.25" customHeight="1" x14ac:dyDescent="0.25">
      <c r="A55" s="684">
        <v>44</v>
      </c>
      <c r="B55" s="671" t="s">
        <v>784</v>
      </c>
      <c r="C55" s="672" t="s">
        <v>785</v>
      </c>
      <c r="D55" s="671" t="s">
        <v>786</v>
      </c>
      <c r="E55" s="673" t="s">
        <v>679</v>
      </c>
      <c r="F55" s="674"/>
      <c r="G55" s="667"/>
      <c r="H55" s="675" t="s">
        <v>787</v>
      </c>
      <c r="I55" s="673" t="s">
        <v>679</v>
      </c>
      <c r="J55" s="674"/>
      <c r="K55" s="688">
        <v>5.5</v>
      </c>
      <c r="M55" s="691">
        <f>20*H6</f>
        <v>9</v>
      </c>
      <c r="N55" s="691">
        <v>4</v>
      </c>
      <c r="O55" s="691">
        <v>2</v>
      </c>
      <c r="Q55" s="697">
        <f t="shared" si="0"/>
        <v>49.5</v>
      </c>
      <c r="R55" s="697">
        <f t="shared" si="1"/>
        <v>22</v>
      </c>
      <c r="S55" s="697">
        <f t="shared" si="2"/>
        <v>11</v>
      </c>
    </row>
    <row r="56" spans="1:19" s="668" customFormat="1" ht="91.5" customHeight="1" x14ac:dyDescent="0.25">
      <c r="A56" s="679"/>
      <c r="B56" s="677"/>
      <c r="C56" s="677"/>
      <c r="D56" s="671" t="s">
        <v>788</v>
      </c>
      <c r="E56" s="680"/>
      <c r="F56" s="681"/>
      <c r="G56" s="667"/>
      <c r="H56" s="675" t="s">
        <v>789</v>
      </c>
      <c r="I56" s="680"/>
      <c r="J56" s="681"/>
      <c r="K56" s="689"/>
      <c r="M56" s="693"/>
      <c r="N56" s="693"/>
      <c r="O56" s="693"/>
      <c r="Q56" s="697">
        <f t="shared" si="0"/>
        <v>0</v>
      </c>
      <c r="R56" s="697">
        <f t="shared" si="1"/>
        <v>0</v>
      </c>
      <c r="S56" s="697">
        <f t="shared" si="2"/>
        <v>0</v>
      </c>
    </row>
    <row r="57" spans="1:19" s="668" customFormat="1" ht="66" customHeight="1" x14ac:dyDescent="0.25">
      <c r="A57" s="684">
        <v>45</v>
      </c>
      <c r="B57" s="671" t="s">
        <v>790</v>
      </c>
      <c r="C57" s="672" t="s">
        <v>773</v>
      </c>
      <c r="D57" s="677" t="s">
        <v>791</v>
      </c>
      <c r="E57" s="673" t="s">
        <v>679</v>
      </c>
      <c r="F57" s="674"/>
      <c r="G57" s="667"/>
      <c r="H57" s="675" t="s">
        <v>792</v>
      </c>
      <c r="I57" s="673" t="s">
        <v>679</v>
      </c>
      <c r="J57" s="674"/>
      <c r="K57" s="688">
        <v>22.5</v>
      </c>
      <c r="M57" s="691">
        <v>14</v>
      </c>
      <c r="N57" s="691">
        <v>2</v>
      </c>
      <c r="O57" s="691">
        <v>2</v>
      </c>
      <c r="Q57" s="697">
        <f t="shared" si="0"/>
        <v>315</v>
      </c>
      <c r="R57" s="697">
        <f t="shared" si="1"/>
        <v>45</v>
      </c>
      <c r="S57" s="697">
        <f t="shared" si="2"/>
        <v>45</v>
      </c>
    </row>
    <row r="58" spans="1:19" s="668" customFormat="1" ht="114.75" x14ac:dyDescent="0.25">
      <c r="A58" s="684">
        <v>46</v>
      </c>
      <c r="B58" s="671" t="s">
        <v>793</v>
      </c>
      <c r="C58" s="672" t="s">
        <v>773</v>
      </c>
      <c r="D58" s="671" t="s">
        <v>794</v>
      </c>
      <c r="E58" s="673" t="s">
        <v>679</v>
      </c>
      <c r="F58" s="674"/>
      <c r="G58" s="667"/>
      <c r="H58" s="675" t="s">
        <v>795</v>
      </c>
      <c r="I58" s="673" t="s">
        <v>679</v>
      </c>
      <c r="J58" s="674"/>
      <c r="K58" s="688">
        <v>35</v>
      </c>
      <c r="M58" s="691">
        <v>5</v>
      </c>
      <c r="N58" s="691">
        <v>0</v>
      </c>
      <c r="O58" s="691">
        <f>0</f>
        <v>0</v>
      </c>
      <c r="Q58" s="697">
        <f t="shared" si="0"/>
        <v>175</v>
      </c>
      <c r="R58" s="697">
        <f t="shared" si="1"/>
        <v>0</v>
      </c>
      <c r="S58" s="697">
        <f t="shared" si="2"/>
        <v>0</v>
      </c>
    </row>
    <row r="59" spans="1:19" s="668" customFormat="1" ht="114.75" x14ac:dyDescent="0.25">
      <c r="A59" s="684">
        <v>47</v>
      </c>
      <c r="B59" s="671" t="s">
        <v>796</v>
      </c>
      <c r="C59" s="672" t="s">
        <v>677</v>
      </c>
      <c r="D59" s="677" t="s">
        <v>797</v>
      </c>
      <c r="E59" s="673" t="s">
        <v>679</v>
      </c>
      <c r="F59" s="674"/>
      <c r="G59" s="667"/>
      <c r="H59" s="675" t="s">
        <v>798</v>
      </c>
      <c r="I59" s="673" t="s">
        <v>679</v>
      </c>
      <c r="J59" s="674"/>
      <c r="K59" s="688">
        <v>18.5</v>
      </c>
      <c r="M59" s="691">
        <v>5</v>
      </c>
      <c r="N59" s="691">
        <v>2</v>
      </c>
      <c r="O59" s="691">
        <v>1</v>
      </c>
      <c r="Q59" s="697">
        <f t="shared" si="0"/>
        <v>92.5</v>
      </c>
      <c r="R59" s="697">
        <f t="shared" si="1"/>
        <v>37</v>
      </c>
      <c r="S59" s="697">
        <f t="shared" si="2"/>
        <v>18.5</v>
      </c>
    </row>
    <row r="60" spans="1:19" s="668" customFormat="1" ht="114.75" x14ac:dyDescent="0.25">
      <c r="A60" s="684">
        <v>48</v>
      </c>
      <c r="B60" s="671" t="s">
        <v>799</v>
      </c>
      <c r="C60" s="672" t="s">
        <v>677</v>
      </c>
      <c r="D60" s="677" t="s">
        <v>800</v>
      </c>
      <c r="E60" s="673" t="s">
        <v>679</v>
      </c>
      <c r="F60" s="674"/>
      <c r="G60" s="667"/>
      <c r="H60" s="675" t="s">
        <v>801</v>
      </c>
      <c r="I60" s="673" t="s">
        <v>679</v>
      </c>
      <c r="J60" s="674"/>
      <c r="K60" s="688">
        <v>18.5</v>
      </c>
      <c r="M60" s="691">
        <v>2</v>
      </c>
      <c r="N60" s="691">
        <v>2</v>
      </c>
      <c r="O60" s="691">
        <v>1</v>
      </c>
      <c r="Q60" s="697">
        <f t="shared" si="0"/>
        <v>37</v>
      </c>
      <c r="R60" s="697">
        <f t="shared" si="1"/>
        <v>37</v>
      </c>
      <c r="S60" s="697">
        <f t="shared" si="2"/>
        <v>18.5</v>
      </c>
    </row>
    <row r="61" spans="1:19" s="668" customFormat="1" ht="114.75" x14ac:dyDescent="0.25">
      <c r="A61" s="684">
        <v>49</v>
      </c>
      <c r="B61" s="671" t="s">
        <v>802</v>
      </c>
      <c r="C61" s="672" t="s">
        <v>785</v>
      </c>
      <c r="D61" s="677" t="s">
        <v>803</v>
      </c>
      <c r="E61" s="673" t="s">
        <v>679</v>
      </c>
      <c r="F61" s="674"/>
      <c r="G61" s="667"/>
      <c r="H61" s="675" t="s">
        <v>804</v>
      </c>
      <c r="I61" s="673" t="s">
        <v>679</v>
      </c>
      <c r="J61" s="674"/>
      <c r="K61" s="688">
        <v>5.5</v>
      </c>
      <c r="M61" s="691">
        <f>0</f>
        <v>0</v>
      </c>
      <c r="N61" s="691">
        <v>2</v>
      </c>
      <c r="O61" s="691">
        <v>1</v>
      </c>
      <c r="Q61" s="697">
        <f t="shared" si="0"/>
        <v>0</v>
      </c>
      <c r="R61" s="697">
        <f t="shared" si="1"/>
        <v>11</v>
      </c>
      <c r="S61" s="697">
        <f t="shared" si="2"/>
        <v>5.5</v>
      </c>
    </row>
    <row r="62" spans="1:19" s="668" customFormat="1" ht="114.75" x14ac:dyDescent="0.25">
      <c r="A62" s="684">
        <v>50</v>
      </c>
      <c r="B62" s="671" t="s">
        <v>805</v>
      </c>
      <c r="C62" s="672" t="s">
        <v>677</v>
      </c>
      <c r="D62" s="671" t="s">
        <v>806</v>
      </c>
      <c r="E62" s="673" t="s">
        <v>762</v>
      </c>
      <c r="F62" s="674"/>
      <c r="G62" s="667"/>
      <c r="H62" s="675" t="s">
        <v>807</v>
      </c>
      <c r="I62" s="673" t="s">
        <v>762</v>
      </c>
      <c r="J62" s="674"/>
      <c r="K62" s="688"/>
      <c r="M62" s="696">
        <v>1</v>
      </c>
      <c r="N62" s="696">
        <v>1</v>
      </c>
      <c r="O62" s="696">
        <v>1</v>
      </c>
      <c r="Q62" s="697">
        <f t="shared" si="0"/>
        <v>0</v>
      </c>
      <c r="R62" s="697">
        <f t="shared" si="1"/>
        <v>0</v>
      </c>
      <c r="S62" s="697">
        <f t="shared" si="2"/>
        <v>0</v>
      </c>
    </row>
    <row r="63" spans="1:19" s="668" customFormat="1" ht="114.75" x14ac:dyDescent="0.25">
      <c r="A63" s="684">
        <v>51</v>
      </c>
      <c r="B63" s="671" t="s">
        <v>808</v>
      </c>
      <c r="C63" s="672" t="s">
        <v>677</v>
      </c>
      <c r="D63" s="671" t="s">
        <v>809</v>
      </c>
      <c r="E63" s="673" t="s">
        <v>762</v>
      </c>
      <c r="F63" s="674"/>
      <c r="G63" s="667"/>
      <c r="H63" s="675" t="s">
        <v>810</v>
      </c>
      <c r="I63" s="673" t="s">
        <v>762</v>
      </c>
      <c r="J63" s="674"/>
      <c r="K63" s="688">
        <v>1.8</v>
      </c>
      <c r="M63" s="696">
        <v>2</v>
      </c>
      <c r="N63" s="696">
        <v>1</v>
      </c>
      <c r="O63" s="696">
        <v>1</v>
      </c>
      <c r="Q63" s="697">
        <f t="shared" si="0"/>
        <v>3.6</v>
      </c>
      <c r="R63" s="697">
        <f t="shared" si="1"/>
        <v>1.8</v>
      </c>
      <c r="S63" s="697">
        <f t="shared" si="2"/>
        <v>1.8</v>
      </c>
    </row>
    <row r="64" spans="1:19" s="668" customFormat="1" ht="114.75" x14ac:dyDescent="0.25">
      <c r="A64" s="670">
        <v>52</v>
      </c>
      <c r="B64" s="671" t="s">
        <v>811</v>
      </c>
      <c r="C64" s="672" t="s">
        <v>653</v>
      </c>
      <c r="D64" s="677" t="s">
        <v>812</v>
      </c>
      <c r="E64" s="673" t="s">
        <v>813</v>
      </c>
      <c r="F64" s="674"/>
      <c r="G64" s="667"/>
      <c r="H64" s="682" t="s">
        <v>814</v>
      </c>
      <c r="I64" s="673" t="s">
        <v>813</v>
      </c>
      <c r="J64" s="674"/>
      <c r="K64" s="688">
        <v>0</v>
      </c>
      <c r="M64" s="696">
        <v>1</v>
      </c>
      <c r="N64" s="696">
        <v>1</v>
      </c>
      <c r="O64" s="696">
        <v>1</v>
      </c>
      <c r="Q64" s="697">
        <f t="shared" si="0"/>
        <v>0</v>
      </c>
      <c r="R64" s="697">
        <f t="shared" si="1"/>
        <v>0</v>
      </c>
      <c r="S64" s="697">
        <f t="shared" si="2"/>
        <v>0</v>
      </c>
    </row>
    <row r="65" spans="1:19" s="668" customFormat="1" ht="114.75" x14ac:dyDescent="0.25">
      <c r="A65" s="670">
        <v>53</v>
      </c>
      <c r="B65" s="671" t="s">
        <v>815</v>
      </c>
      <c r="C65" s="672" t="s">
        <v>653</v>
      </c>
      <c r="D65" s="677" t="s">
        <v>812</v>
      </c>
      <c r="E65" s="673" t="s">
        <v>813</v>
      </c>
      <c r="F65" s="674"/>
      <c r="G65" s="667"/>
      <c r="H65" s="682" t="s">
        <v>814</v>
      </c>
      <c r="I65" s="673" t="s">
        <v>813</v>
      </c>
      <c r="J65" s="674"/>
      <c r="K65" s="688">
        <v>0</v>
      </c>
      <c r="M65" s="696">
        <v>1</v>
      </c>
      <c r="N65" s="696">
        <v>1</v>
      </c>
      <c r="O65" s="696">
        <v>1</v>
      </c>
      <c r="Q65" s="697">
        <f t="shared" si="0"/>
        <v>0</v>
      </c>
      <c r="R65" s="697">
        <f t="shared" si="1"/>
        <v>0</v>
      </c>
      <c r="S65" s="697">
        <f t="shared" si="2"/>
        <v>0</v>
      </c>
    </row>
    <row r="66" spans="1:19" s="668" customFormat="1" ht="114.75" x14ac:dyDescent="0.25">
      <c r="A66" s="670">
        <v>54</v>
      </c>
      <c r="B66" s="671" t="s">
        <v>816</v>
      </c>
      <c r="C66" s="672" t="s">
        <v>653</v>
      </c>
      <c r="D66" s="677" t="s">
        <v>817</v>
      </c>
      <c r="E66" s="673" t="s">
        <v>813</v>
      </c>
      <c r="F66" s="674"/>
      <c r="G66" s="667"/>
      <c r="H66" s="682" t="s">
        <v>818</v>
      </c>
      <c r="I66" s="673" t="s">
        <v>813</v>
      </c>
      <c r="J66" s="674"/>
      <c r="K66" s="688">
        <v>4.5</v>
      </c>
      <c r="M66" s="696">
        <v>90</v>
      </c>
      <c r="N66" s="696">
        <v>18</v>
      </c>
      <c r="O66" s="696">
        <v>9</v>
      </c>
      <c r="Q66" s="697">
        <f t="shared" si="0"/>
        <v>405</v>
      </c>
      <c r="R66" s="697">
        <f t="shared" si="1"/>
        <v>81</v>
      </c>
      <c r="S66" s="697">
        <f t="shared" si="2"/>
        <v>40.5</v>
      </c>
    </row>
    <row r="67" spans="1:19" s="668" customFormat="1" ht="153" x14ac:dyDescent="0.25">
      <c r="A67" s="670">
        <v>55</v>
      </c>
      <c r="B67" s="671" t="s">
        <v>819</v>
      </c>
      <c r="C67" s="672" t="s">
        <v>653</v>
      </c>
      <c r="D67" s="671" t="s">
        <v>820</v>
      </c>
      <c r="E67" s="673" t="s">
        <v>813</v>
      </c>
      <c r="F67" s="674"/>
      <c r="G67" s="667"/>
      <c r="H67" s="675" t="s">
        <v>697</v>
      </c>
      <c r="I67" s="673" t="s">
        <v>813</v>
      </c>
      <c r="J67" s="674"/>
      <c r="K67" s="688"/>
      <c r="M67" s="696">
        <f>20*H6</f>
        <v>9</v>
      </c>
      <c r="N67" s="696">
        <v>2</v>
      </c>
      <c r="O67" s="696">
        <v>2</v>
      </c>
      <c r="Q67" s="697">
        <f t="shared" si="0"/>
        <v>0</v>
      </c>
      <c r="R67" s="697">
        <f t="shared" si="1"/>
        <v>0</v>
      </c>
      <c r="S67" s="697">
        <f t="shared" si="2"/>
        <v>0</v>
      </c>
    </row>
    <row r="68" spans="1:19" s="668" customFormat="1" ht="153" x14ac:dyDescent="0.25">
      <c r="A68" s="670">
        <v>56</v>
      </c>
      <c r="B68" s="671" t="s">
        <v>821</v>
      </c>
      <c r="C68" s="672" t="s">
        <v>653</v>
      </c>
      <c r="D68" s="671" t="s">
        <v>822</v>
      </c>
      <c r="E68" s="673" t="s">
        <v>813</v>
      </c>
      <c r="F68" s="674"/>
      <c r="G68" s="667"/>
      <c r="H68" s="675" t="s">
        <v>823</v>
      </c>
      <c r="I68" s="673" t="s">
        <v>813</v>
      </c>
      <c r="J68" s="674"/>
      <c r="K68" s="688"/>
      <c r="M68" s="696">
        <v>2</v>
      </c>
      <c r="N68" s="696">
        <v>1</v>
      </c>
      <c r="O68" s="696">
        <v>1</v>
      </c>
      <c r="Q68" s="697">
        <f t="shared" si="0"/>
        <v>0</v>
      </c>
      <c r="R68" s="697">
        <f t="shared" si="1"/>
        <v>0</v>
      </c>
      <c r="S68" s="697">
        <f t="shared" si="2"/>
        <v>0</v>
      </c>
    </row>
    <row r="69" spans="1:19" s="668" customFormat="1" ht="153" x14ac:dyDescent="0.25">
      <c r="A69" s="670">
        <v>57</v>
      </c>
      <c r="B69" s="671" t="s">
        <v>824</v>
      </c>
      <c r="C69" s="672" t="s">
        <v>653</v>
      </c>
      <c r="D69" s="671" t="s">
        <v>825</v>
      </c>
      <c r="E69" s="673" t="s">
        <v>813</v>
      </c>
      <c r="F69" s="674"/>
      <c r="G69" s="667"/>
      <c r="H69" s="675" t="s">
        <v>807</v>
      </c>
      <c r="I69" s="673" t="s">
        <v>813</v>
      </c>
      <c r="J69" s="674"/>
      <c r="K69" s="688"/>
      <c r="M69" s="696">
        <v>1</v>
      </c>
      <c r="N69" s="696">
        <v>1</v>
      </c>
      <c r="O69" s="696">
        <v>1</v>
      </c>
      <c r="Q69" s="698">
        <f t="shared" si="0"/>
        <v>0</v>
      </c>
      <c r="R69" s="698">
        <f t="shared" si="1"/>
        <v>0</v>
      </c>
      <c r="S69" s="698">
        <f t="shared" si="2"/>
        <v>0</v>
      </c>
    </row>
    <row r="70" spans="1:19" x14ac:dyDescent="0.3">
      <c r="P70" s="699" t="s">
        <v>137</v>
      </c>
      <c r="Q70" s="700">
        <f>SUM(Q11:Q69)</f>
        <v>9946.8700000000008</v>
      </c>
      <c r="R70" s="700">
        <f>SUM(R11:R69)</f>
        <v>2683.92</v>
      </c>
      <c r="S70" s="700">
        <f>SUM(S11:S69)</f>
        <v>1340.63</v>
      </c>
    </row>
  </sheetData>
  <mergeCells count="131">
    <mergeCell ref="Q9:S9"/>
    <mergeCell ref="E67:F67"/>
    <mergeCell ref="I67:J67"/>
    <mergeCell ref="E68:F68"/>
    <mergeCell ref="I68:J68"/>
    <mergeCell ref="E69:F69"/>
    <mergeCell ref="I69:J69"/>
    <mergeCell ref="E64:F64"/>
    <mergeCell ref="I64:J64"/>
    <mergeCell ref="E65:F65"/>
    <mergeCell ref="I65:J65"/>
    <mergeCell ref="E66:F66"/>
    <mergeCell ref="I66:J66"/>
    <mergeCell ref="E61:F61"/>
    <mergeCell ref="I61:J61"/>
    <mergeCell ref="E62:F62"/>
    <mergeCell ref="I62:J62"/>
    <mergeCell ref="E63:F63"/>
    <mergeCell ref="I63:J63"/>
    <mergeCell ref="E58:F58"/>
    <mergeCell ref="I58:J58"/>
    <mergeCell ref="E59:F59"/>
    <mergeCell ref="I59:J59"/>
    <mergeCell ref="E60:F60"/>
    <mergeCell ref="I60:J60"/>
    <mergeCell ref="E55:F55"/>
    <mergeCell ref="I55:J55"/>
    <mergeCell ref="E56:F56"/>
    <mergeCell ref="I56:J56"/>
    <mergeCell ref="E57:F57"/>
    <mergeCell ref="I57:J57"/>
    <mergeCell ref="E52:F52"/>
    <mergeCell ref="I52:J52"/>
    <mergeCell ref="E53:F53"/>
    <mergeCell ref="I53:J53"/>
    <mergeCell ref="E54:F54"/>
    <mergeCell ref="I54:J54"/>
    <mergeCell ref="E49:F49"/>
    <mergeCell ref="I49:J49"/>
    <mergeCell ref="E50:F50"/>
    <mergeCell ref="I50:J50"/>
    <mergeCell ref="E51:F51"/>
    <mergeCell ref="I51:J51"/>
    <mergeCell ref="E46:F46"/>
    <mergeCell ref="I46:J46"/>
    <mergeCell ref="E47:F47"/>
    <mergeCell ref="I47:J47"/>
    <mergeCell ref="E48:F48"/>
    <mergeCell ref="I48:J48"/>
    <mergeCell ref="E43:F43"/>
    <mergeCell ref="I43:J43"/>
    <mergeCell ref="E44:F44"/>
    <mergeCell ref="I44:J44"/>
    <mergeCell ref="E45:F45"/>
    <mergeCell ref="I45:J45"/>
    <mergeCell ref="E40:F40"/>
    <mergeCell ref="I40:J40"/>
    <mergeCell ref="E41:F41"/>
    <mergeCell ref="I41:J41"/>
    <mergeCell ref="E42:F42"/>
    <mergeCell ref="I42:J42"/>
    <mergeCell ref="E37:F37"/>
    <mergeCell ref="I37:J37"/>
    <mergeCell ref="E38:F38"/>
    <mergeCell ref="I38:J38"/>
    <mergeCell ref="E39:F39"/>
    <mergeCell ref="I39:J39"/>
    <mergeCell ref="E34:F34"/>
    <mergeCell ref="I34:J34"/>
    <mergeCell ref="E35:F35"/>
    <mergeCell ref="I35:J35"/>
    <mergeCell ref="E36:F36"/>
    <mergeCell ref="I36:J36"/>
    <mergeCell ref="E32:F32"/>
    <mergeCell ref="I32:J32"/>
    <mergeCell ref="E33:F33"/>
    <mergeCell ref="I33:J33"/>
    <mergeCell ref="E29:F29"/>
    <mergeCell ref="I29:J29"/>
    <mergeCell ref="E30:F30"/>
    <mergeCell ref="I30:J30"/>
    <mergeCell ref="E31:F31"/>
    <mergeCell ref="I31:J31"/>
    <mergeCell ref="E26:F26"/>
    <mergeCell ref="I26:J26"/>
    <mergeCell ref="E27:F27"/>
    <mergeCell ref="I27:J27"/>
    <mergeCell ref="E28:F28"/>
    <mergeCell ref="I28:J28"/>
    <mergeCell ref="E23:F23"/>
    <mergeCell ref="I23:J23"/>
    <mergeCell ref="E24:F24"/>
    <mergeCell ref="I24:J24"/>
    <mergeCell ref="E25:F25"/>
    <mergeCell ref="I25:J25"/>
    <mergeCell ref="E20:F20"/>
    <mergeCell ref="I20:J20"/>
    <mergeCell ref="E21:F21"/>
    <mergeCell ref="I21:J21"/>
    <mergeCell ref="E22:F22"/>
    <mergeCell ref="I22:J22"/>
    <mergeCell ref="E17:F17"/>
    <mergeCell ref="I17:J17"/>
    <mergeCell ref="E18:F18"/>
    <mergeCell ref="I18:J18"/>
    <mergeCell ref="E19:F19"/>
    <mergeCell ref="I19:J19"/>
    <mergeCell ref="E14:F14"/>
    <mergeCell ref="I14:J14"/>
    <mergeCell ref="E15:F15"/>
    <mergeCell ref="I15:J15"/>
    <mergeCell ref="E16:F16"/>
    <mergeCell ref="I16:J16"/>
    <mergeCell ref="E11:F11"/>
    <mergeCell ref="I11:J11"/>
    <mergeCell ref="E12:F12"/>
    <mergeCell ref="I12:J12"/>
    <mergeCell ref="E13:F13"/>
    <mergeCell ref="I13:J13"/>
    <mergeCell ref="A9:F9"/>
    <mergeCell ref="H9:J9"/>
    <mergeCell ref="K9:L9"/>
    <mergeCell ref="M9:O9"/>
    <mergeCell ref="E10:F10"/>
    <mergeCell ref="I10:J10"/>
    <mergeCell ref="A1:J1"/>
    <mergeCell ref="L2:O2"/>
    <mergeCell ref="E3:F3"/>
    <mergeCell ref="E4:F4"/>
    <mergeCell ref="E5:F5"/>
    <mergeCell ref="E6:F6"/>
  </mergeCells>
  <pageMargins left="0.511811024" right="0.511811024" top="0.78740157499999996" bottom="0.78740157499999996" header="0.31496062000000002" footer="0.314960620000000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J10"/>
  <sheetViews>
    <sheetView view="pageBreakPreview" zoomScale="90" zoomScaleNormal="130" zoomScaleSheetLayoutView="90" workbookViewId="0">
      <selection sqref="A1:XFD10"/>
    </sheetView>
  </sheetViews>
  <sheetFormatPr defaultColWidth="9.140625" defaultRowHeight="15" x14ac:dyDescent="0.25"/>
  <cols>
    <col min="1" max="1" width="1.28515625" style="20" customWidth="1"/>
    <col min="2" max="2" width="47.5703125" style="20" bestFit="1" customWidth="1"/>
    <col min="3" max="3" width="13.5703125" style="20" customWidth="1"/>
    <col min="4" max="4" width="13.5703125" style="20" bestFit="1" customWidth="1"/>
    <col min="5" max="5" width="14" style="27" customWidth="1"/>
    <col min="6" max="6" width="9.140625" style="20"/>
    <col min="7" max="8" width="12.28515625" style="20" bestFit="1" customWidth="1"/>
    <col min="9" max="9" width="11.140625" style="20" bestFit="1" customWidth="1"/>
    <col min="10" max="16384" width="9.140625" style="20"/>
  </cols>
  <sheetData>
    <row r="1" spans="2:10" x14ac:dyDescent="0.25">
      <c r="B1" s="565" t="s">
        <v>336</v>
      </c>
      <c r="C1" s="565"/>
      <c r="D1" s="565"/>
      <c r="E1" s="565"/>
    </row>
    <row r="2" spans="2:10" ht="15.75" x14ac:dyDescent="0.25">
      <c r="B2" s="566" t="s">
        <v>321</v>
      </c>
      <c r="C2" s="566"/>
      <c r="D2" s="566"/>
      <c r="E2" s="566"/>
      <c r="F2" s="21"/>
      <c r="G2" s="21"/>
      <c r="H2" s="21"/>
      <c r="I2" s="21"/>
      <c r="J2" s="21"/>
    </row>
    <row r="3" spans="2:10" x14ac:dyDescent="0.25">
      <c r="B3" s="562" t="s">
        <v>374</v>
      </c>
      <c r="C3" s="562"/>
      <c r="D3" s="562"/>
      <c r="E3" s="562"/>
    </row>
    <row r="4" spans="2:10" x14ac:dyDescent="0.25">
      <c r="B4" s="22" t="s">
        <v>143</v>
      </c>
      <c r="C4" s="22" t="s">
        <v>138</v>
      </c>
      <c r="D4" s="22" t="s">
        <v>135</v>
      </c>
      <c r="E4" s="22" t="s">
        <v>136</v>
      </c>
    </row>
    <row r="5" spans="2:10" ht="30" x14ac:dyDescent="0.25">
      <c r="B5" s="183" t="s">
        <v>369</v>
      </c>
      <c r="C5" s="24">
        <v>2</v>
      </c>
      <c r="D5" s="117">
        <v>32.450000000000003</v>
      </c>
      <c r="E5" s="26">
        <f>C5*D5/12</f>
        <v>5.41</v>
      </c>
    </row>
    <row r="6" spans="2:10" ht="30" x14ac:dyDescent="0.25">
      <c r="B6" s="183" t="s">
        <v>370</v>
      </c>
      <c r="C6" s="175">
        <v>2</v>
      </c>
      <c r="D6" s="117">
        <v>57.45</v>
      </c>
      <c r="E6" s="26">
        <f t="shared" ref="E6:E9" si="0">C6*D6/12</f>
        <v>9.58</v>
      </c>
      <c r="G6" s="127"/>
    </row>
    <row r="7" spans="2:10" x14ac:dyDescent="0.25">
      <c r="B7" s="23" t="s">
        <v>371</v>
      </c>
      <c r="C7" s="175">
        <v>2</v>
      </c>
      <c r="D7" s="117">
        <v>8.5</v>
      </c>
      <c r="E7" s="26">
        <f t="shared" si="0"/>
        <v>1.42</v>
      </c>
      <c r="H7" s="127"/>
      <c r="I7" s="128"/>
    </row>
    <row r="8" spans="2:10" ht="30" x14ac:dyDescent="0.25">
      <c r="B8" s="183" t="s">
        <v>372</v>
      </c>
      <c r="C8" s="24">
        <v>2</v>
      </c>
      <c r="D8" s="117">
        <v>57.45</v>
      </c>
      <c r="E8" s="26">
        <f t="shared" si="0"/>
        <v>9.58</v>
      </c>
      <c r="G8" s="127"/>
    </row>
    <row r="9" spans="2:10" x14ac:dyDescent="0.25">
      <c r="B9" s="23" t="s">
        <v>373</v>
      </c>
      <c r="C9" s="24">
        <v>1</v>
      </c>
      <c r="D9" s="117">
        <v>15.25</v>
      </c>
      <c r="E9" s="26">
        <f t="shared" si="0"/>
        <v>1.27</v>
      </c>
      <c r="H9" s="127"/>
      <c r="I9" s="128"/>
    </row>
    <row r="10" spans="2:10" x14ac:dyDescent="0.2">
      <c r="B10" s="563" t="s">
        <v>137</v>
      </c>
      <c r="C10" s="564"/>
      <c r="D10" s="112"/>
      <c r="E10" s="111">
        <f>SUM(E5:E9)</f>
        <v>27.26</v>
      </c>
      <c r="F10" s="25"/>
      <c r="G10" s="25"/>
      <c r="H10" s="25"/>
      <c r="I10" s="25"/>
      <c r="J10" s="25"/>
    </row>
  </sheetData>
  <mergeCells count="4">
    <mergeCell ref="B3:E3"/>
    <mergeCell ref="B10:C10"/>
    <mergeCell ref="B1:E1"/>
    <mergeCell ref="B2:E2"/>
  </mergeCells>
  <pageMargins left="0.51181102362204722" right="0.51181102362204722"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1"/>
  <sheetViews>
    <sheetView topLeftCell="A19" workbookViewId="0">
      <selection activeCell="G19" sqref="G19"/>
    </sheetView>
  </sheetViews>
  <sheetFormatPr defaultRowHeight="15" x14ac:dyDescent="0.25"/>
  <cols>
    <col min="1" max="1" width="30.5703125" style="184" customWidth="1"/>
    <col min="2" max="2" width="14.140625" customWidth="1"/>
    <col min="5" max="5" width="11.7109375" bestFit="1" customWidth="1"/>
  </cols>
  <sheetData>
    <row r="3" spans="1:5" x14ac:dyDescent="0.25">
      <c r="A3" s="567" t="s">
        <v>408</v>
      </c>
      <c r="B3" s="567"/>
      <c r="C3" s="567"/>
      <c r="D3" s="567"/>
      <c r="E3" s="567"/>
    </row>
    <row r="4" spans="1:5" ht="30" x14ac:dyDescent="0.25">
      <c r="A4" s="185" t="s">
        <v>206</v>
      </c>
      <c r="B4" s="186" t="s">
        <v>397</v>
      </c>
      <c r="C4" s="175">
        <v>140</v>
      </c>
      <c r="D4" s="187">
        <v>23.5</v>
      </c>
      <c r="E4" s="187">
        <v>148</v>
      </c>
    </row>
    <row r="5" spans="1:5" ht="30" x14ac:dyDescent="0.25">
      <c r="A5" s="188" t="s">
        <v>375</v>
      </c>
      <c r="B5" s="186" t="s">
        <v>398</v>
      </c>
      <c r="C5" s="175">
        <v>70</v>
      </c>
      <c r="D5" s="187">
        <v>9.4</v>
      </c>
      <c r="E5" s="187">
        <v>349.95</v>
      </c>
    </row>
    <row r="6" spans="1:5" ht="30" x14ac:dyDescent="0.25">
      <c r="A6" s="185" t="s">
        <v>376</v>
      </c>
      <c r="B6" s="186" t="s">
        <v>397</v>
      </c>
      <c r="C6" s="175">
        <v>35</v>
      </c>
      <c r="D6" s="187">
        <v>6.52</v>
      </c>
      <c r="E6" s="187">
        <v>1336.52</v>
      </c>
    </row>
    <row r="7" spans="1:5" ht="30" x14ac:dyDescent="0.25">
      <c r="A7" s="185" t="s">
        <v>237</v>
      </c>
      <c r="B7" s="186" t="s">
        <v>397</v>
      </c>
      <c r="C7" s="175">
        <v>10</v>
      </c>
      <c r="D7" s="187">
        <v>36.74</v>
      </c>
      <c r="E7" s="187">
        <v>185.24</v>
      </c>
    </row>
    <row r="8" spans="1:5" ht="30" x14ac:dyDescent="0.25">
      <c r="A8" s="185" t="s">
        <v>377</v>
      </c>
      <c r="B8" s="186" t="s">
        <v>397</v>
      </c>
      <c r="C8" s="175">
        <v>70</v>
      </c>
      <c r="D8" s="187">
        <v>53.95</v>
      </c>
      <c r="E8" s="187">
        <v>1502.95</v>
      </c>
    </row>
    <row r="9" spans="1:5" ht="30" x14ac:dyDescent="0.25">
      <c r="A9" s="185" t="s">
        <v>378</v>
      </c>
      <c r="B9" s="186" t="s">
        <v>397</v>
      </c>
      <c r="C9" s="175">
        <v>140</v>
      </c>
      <c r="D9" s="187">
        <v>34.46</v>
      </c>
      <c r="E9" s="187">
        <v>2744.96</v>
      </c>
    </row>
    <row r="10" spans="1:5" ht="30" x14ac:dyDescent="0.25">
      <c r="A10" s="185" t="s">
        <v>379</v>
      </c>
      <c r="B10" s="186" t="s">
        <v>399</v>
      </c>
      <c r="C10" s="175">
        <v>105</v>
      </c>
      <c r="D10" s="187">
        <v>1.1000000000000001</v>
      </c>
      <c r="E10" s="187">
        <v>53.1</v>
      </c>
    </row>
    <row r="11" spans="1:5" x14ac:dyDescent="0.25">
      <c r="A11" s="185" t="s">
        <v>380</v>
      </c>
      <c r="B11" s="186" t="s">
        <v>337</v>
      </c>
      <c r="C11" s="175">
        <v>105</v>
      </c>
      <c r="D11" s="187">
        <v>3.25</v>
      </c>
      <c r="E11" s="187">
        <v>159.25</v>
      </c>
    </row>
    <row r="12" spans="1:5" ht="30" x14ac:dyDescent="0.25">
      <c r="A12" s="188" t="s">
        <v>381</v>
      </c>
      <c r="B12" s="186" t="s">
        <v>400</v>
      </c>
      <c r="C12" s="175">
        <v>70</v>
      </c>
      <c r="D12" s="187">
        <v>4.71</v>
      </c>
      <c r="E12" s="187">
        <v>211.71</v>
      </c>
    </row>
    <row r="13" spans="1:5" ht="30" x14ac:dyDescent="0.25">
      <c r="A13" s="188" t="s">
        <v>382</v>
      </c>
      <c r="B13" s="186" t="s">
        <v>401</v>
      </c>
      <c r="C13" s="175">
        <v>35</v>
      </c>
      <c r="D13" s="187">
        <v>23.97</v>
      </c>
      <c r="E13" s="187">
        <v>380.97</v>
      </c>
    </row>
    <row r="14" spans="1:5" ht="30" x14ac:dyDescent="0.25">
      <c r="A14" s="185" t="s">
        <v>383</v>
      </c>
      <c r="B14" s="186" t="s">
        <v>402</v>
      </c>
      <c r="C14" s="175">
        <v>35</v>
      </c>
      <c r="D14" s="187">
        <v>3.45</v>
      </c>
      <c r="E14" s="187">
        <v>71.45</v>
      </c>
    </row>
    <row r="15" spans="1:5" ht="30" x14ac:dyDescent="0.25">
      <c r="A15" s="185" t="s">
        <v>384</v>
      </c>
      <c r="B15" s="186" t="s">
        <v>403</v>
      </c>
      <c r="C15" s="175">
        <v>105</v>
      </c>
      <c r="D15" s="187">
        <v>6.45</v>
      </c>
      <c r="E15" s="187">
        <v>266.45</v>
      </c>
    </row>
    <row r="16" spans="1:5" x14ac:dyDescent="0.25">
      <c r="A16" s="185" t="s">
        <v>385</v>
      </c>
      <c r="B16" s="186" t="s">
        <v>337</v>
      </c>
      <c r="C16" s="175">
        <v>175</v>
      </c>
      <c r="D16" s="187">
        <v>3.75</v>
      </c>
      <c r="E16" s="187">
        <v>351.75</v>
      </c>
    </row>
    <row r="17" spans="1:5" x14ac:dyDescent="0.25">
      <c r="A17" s="185" t="s">
        <v>386</v>
      </c>
      <c r="B17" s="186" t="s">
        <v>341</v>
      </c>
      <c r="C17" s="175">
        <v>560</v>
      </c>
      <c r="D17" s="187">
        <v>1.46</v>
      </c>
      <c r="E17" s="187">
        <v>532.51</v>
      </c>
    </row>
    <row r="18" spans="1:5" ht="30" x14ac:dyDescent="0.25">
      <c r="A18" s="185" t="s">
        <v>387</v>
      </c>
      <c r="B18" s="186" t="s">
        <v>404</v>
      </c>
      <c r="C18" s="175">
        <v>350</v>
      </c>
      <c r="D18" s="187">
        <v>7.9</v>
      </c>
      <c r="E18" s="187">
        <v>1473.16</v>
      </c>
    </row>
    <row r="19" spans="1:5" ht="30" x14ac:dyDescent="0.25">
      <c r="A19" s="188" t="s">
        <v>388</v>
      </c>
      <c r="B19" s="186" t="s">
        <v>405</v>
      </c>
      <c r="C19" s="175">
        <v>35</v>
      </c>
      <c r="D19" s="187">
        <v>3.08</v>
      </c>
      <c r="E19" s="187">
        <v>41.33</v>
      </c>
    </row>
    <row r="20" spans="1:5" x14ac:dyDescent="0.25">
      <c r="A20" s="185" t="s">
        <v>339</v>
      </c>
      <c r="B20" s="175" t="s">
        <v>337</v>
      </c>
      <c r="C20" s="175">
        <v>35</v>
      </c>
      <c r="D20" s="187">
        <v>1.5</v>
      </c>
      <c r="E20" s="187">
        <v>35.5</v>
      </c>
    </row>
    <row r="21" spans="1:5" x14ac:dyDescent="0.25">
      <c r="A21" s="185" t="s">
        <v>340</v>
      </c>
      <c r="B21" s="175" t="s">
        <v>338</v>
      </c>
      <c r="C21" s="175">
        <v>10</v>
      </c>
      <c r="D21" s="187">
        <v>6.45</v>
      </c>
      <c r="E21" s="187">
        <v>42.45</v>
      </c>
    </row>
    <row r="22" spans="1:5" ht="30" x14ac:dyDescent="0.25">
      <c r="A22" s="185" t="s">
        <v>389</v>
      </c>
      <c r="B22" s="186" t="s">
        <v>411</v>
      </c>
      <c r="C22" s="175">
        <v>70</v>
      </c>
      <c r="D22" s="187">
        <v>4</v>
      </c>
      <c r="E22" s="187">
        <v>142</v>
      </c>
    </row>
    <row r="23" spans="1:5" ht="30" x14ac:dyDescent="0.25">
      <c r="A23" s="188" t="s">
        <v>390</v>
      </c>
      <c r="B23" s="186" t="s">
        <v>397</v>
      </c>
      <c r="C23" s="175">
        <v>35</v>
      </c>
      <c r="D23" s="187">
        <v>21.72</v>
      </c>
      <c r="E23" s="187">
        <v>446.72</v>
      </c>
    </row>
    <row r="24" spans="1:5" ht="30" x14ac:dyDescent="0.25">
      <c r="A24" s="185" t="s">
        <v>391</v>
      </c>
      <c r="B24" s="186" t="s">
        <v>397</v>
      </c>
      <c r="C24" s="175">
        <v>5</v>
      </c>
      <c r="D24" s="187">
        <v>42.18</v>
      </c>
      <c r="E24" s="187">
        <v>132.18</v>
      </c>
    </row>
    <row r="25" spans="1:5" ht="30" x14ac:dyDescent="0.25">
      <c r="A25" s="185" t="s">
        <v>392</v>
      </c>
      <c r="B25" s="186" t="s">
        <v>406</v>
      </c>
      <c r="C25" s="175">
        <v>35</v>
      </c>
      <c r="D25" s="187">
        <v>34.43</v>
      </c>
      <c r="E25" s="187">
        <v>748.43</v>
      </c>
    </row>
    <row r="26" spans="1:5" ht="30" x14ac:dyDescent="0.25">
      <c r="A26" s="185" t="s">
        <v>393</v>
      </c>
      <c r="B26" s="186" t="s">
        <v>406</v>
      </c>
      <c r="C26" s="175">
        <v>35</v>
      </c>
      <c r="D26" s="187">
        <v>26.62</v>
      </c>
      <c r="E26" s="187">
        <v>706.62</v>
      </c>
    </row>
    <row r="27" spans="1:5" ht="30" x14ac:dyDescent="0.25">
      <c r="A27" s="185" t="s">
        <v>394</v>
      </c>
      <c r="B27" s="186" t="s">
        <v>406</v>
      </c>
      <c r="C27" s="175">
        <v>35</v>
      </c>
      <c r="D27" s="187">
        <v>23.67</v>
      </c>
      <c r="E27" s="187">
        <v>635.66999999999996</v>
      </c>
    </row>
    <row r="28" spans="1:5" ht="30" x14ac:dyDescent="0.25">
      <c r="A28" s="185" t="s">
        <v>395</v>
      </c>
      <c r="B28" s="186" t="s">
        <v>406</v>
      </c>
      <c r="C28" s="175">
        <v>35</v>
      </c>
      <c r="D28" s="187">
        <v>20.63</v>
      </c>
      <c r="E28" s="187">
        <v>598.63</v>
      </c>
    </row>
    <row r="29" spans="1:5" ht="30" x14ac:dyDescent="0.25">
      <c r="A29" s="185" t="s">
        <v>396</v>
      </c>
      <c r="B29" s="186" t="s">
        <v>407</v>
      </c>
      <c r="C29" s="175">
        <v>70</v>
      </c>
      <c r="D29" s="187">
        <v>3.99</v>
      </c>
      <c r="E29" s="187">
        <v>148.88999999999999</v>
      </c>
    </row>
    <row r="30" spans="1:5" x14ac:dyDescent="0.25">
      <c r="A30" s="568" t="s">
        <v>409</v>
      </c>
      <c r="B30" s="569"/>
      <c r="C30" s="569"/>
      <c r="D30" s="570"/>
      <c r="E30" s="187">
        <f>SUM(E4:E29)</f>
        <v>13446.39</v>
      </c>
    </row>
    <row r="31" spans="1:5" x14ac:dyDescent="0.25">
      <c r="A31" s="369" t="s">
        <v>410</v>
      </c>
      <c r="B31" s="369"/>
      <c r="C31" s="369"/>
      <c r="D31" s="369"/>
      <c r="E31" s="189">
        <f>E30/34</f>
        <v>395.48</v>
      </c>
    </row>
  </sheetData>
  <mergeCells count="3">
    <mergeCell ref="A3:E3"/>
    <mergeCell ref="A30:D30"/>
    <mergeCell ref="A31:D3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79"/>
  <sheetViews>
    <sheetView topLeftCell="A12" zoomScale="80" zoomScaleNormal="80" workbookViewId="0">
      <selection activeCell="E63" sqref="E63"/>
    </sheetView>
  </sheetViews>
  <sheetFormatPr defaultRowHeight="15" x14ac:dyDescent="0.25"/>
  <cols>
    <col min="2" max="2" width="12.7109375" customWidth="1"/>
    <col min="5" max="5" width="10.7109375" customWidth="1"/>
    <col min="6" max="6" width="13" customWidth="1"/>
    <col min="7" max="7" width="11.7109375" customWidth="1"/>
    <col min="8" max="8" width="11.85546875" customWidth="1"/>
  </cols>
  <sheetData>
    <row r="1" spans="1:8" ht="18" x14ac:dyDescent="0.25">
      <c r="A1" s="371" t="s">
        <v>467</v>
      </c>
      <c r="B1" s="371"/>
      <c r="C1" s="371"/>
      <c r="D1" s="371"/>
      <c r="E1" s="371"/>
      <c r="F1" s="371"/>
      <c r="G1" s="371"/>
      <c r="H1" s="371"/>
    </row>
    <row r="2" spans="1:8" ht="15" customHeight="1" x14ac:dyDescent="0.25">
      <c r="A2" s="370" t="s">
        <v>468</v>
      </c>
      <c r="B2" s="370"/>
      <c r="C2" s="370"/>
      <c r="D2" s="370"/>
      <c r="E2" s="370"/>
      <c r="F2" s="370"/>
      <c r="G2" s="370"/>
      <c r="H2" s="370"/>
    </row>
    <row r="3" spans="1:8" ht="15" customHeight="1" x14ac:dyDescent="0.25">
      <c r="A3" s="370" t="s">
        <v>469</v>
      </c>
      <c r="B3" s="370"/>
      <c r="C3" s="370"/>
      <c r="D3" s="370"/>
      <c r="E3" s="370"/>
      <c r="F3" s="370"/>
      <c r="G3" s="370"/>
      <c r="H3" s="370"/>
    </row>
    <row r="4" spans="1:8" ht="15" customHeight="1" x14ac:dyDescent="0.25">
      <c r="A4" s="370" t="s">
        <v>470</v>
      </c>
      <c r="B4" s="370"/>
      <c r="C4" s="370"/>
      <c r="D4" s="370"/>
      <c r="E4" s="370"/>
      <c r="F4" s="370"/>
      <c r="G4" s="370"/>
      <c r="H4" s="370"/>
    </row>
    <row r="5" spans="1:8" x14ac:dyDescent="0.25">
      <c r="B5" s="234"/>
      <c r="C5" s="234"/>
      <c r="D5" s="234"/>
      <c r="E5" s="234"/>
      <c r="F5" s="234"/>
      <c r="G5" s="234"/>
      <c r="H5" s="234"/>
    </row>
    <row r="6" spans="1:8" ht="24" customHeight="1" x14ac:dyDescent="0.25">
      <c r="A6" s="372" t="s">
        <v>507</v>
      </c>
      <c r="B6" s="372"/>
      <c r="C6" s="372"/>
      <c r="D6" s="372"/>
      <c r="E6" s="372"/>
      <c r="F6" s="372"/>
      <c r="G6" s="372"/>
      <c r="H6" s="372"/>
    </row>
    <row r="7" spans="1:8" x14ac:dyDescent="0.25">
      <c r="B7" s="234"/>
      <c r="C7" s="234"/>
      <c r="D7" s="234"/>
      <c r="E7" s="234"/>
      <c r="F7" s="234"/>
      <c r="G7" s="234"/>
      <c r="H7" s="234"/>
    </row>
    <row r="8" spans="1:8" x14ac:dyDescent="0.25">
      <c r="A8" s="369"/>
      <c r="B8" s="373" t="s">
        <v>449</v>
      </c>
      <c r="C8" s="373"/>
      <c r="D8" s="374"/>
      <c r="E8" s="374"/>
      <c r="F8" s="375" t="s">
        <v>471</v>
      </c>
      <c r="G8" s="376"/>
      <c r="H8" s="376"/>
    </row>
    <row r="9" spans="1:8" x14ac:dyDescent="0.25">
      <c r="A9" s="369"/>
      <c r="B9" s="373" t="s">
        <v>450</v>
      </c>
      <c r="C9" s="373"/>
      <c r="D9" s="374"/>
      <c r="E9" s="374"/>
      <c r="F9" s="377" t="s">
        <v>472</v>
      </c>
      <c r="G9" s="377"/>
      <c r="H9" s="377"/>
    </row>
    <row r="10" spans="1:8" x14ac:dyDescent="0.25">
      <c r="A10" s="369"/>
      <c r="B10" s="235"/>
      <c r="C10" s="235"/>
      <c r="D10" s="235"/>
      <c r="E10" s="235"/>
      <c r="F10" s="236"/>
      <c r="G10" s="236"/>
      <c r="H10" s="236"/>
    </row>
    <row r="11" spans="1:8" ht="29.25" customHeight="1" x14ac:dyDescent="0.25">
      <c r="A11" s="369"/>
      <c r="B11" s="378" t="s">
        <v>474</v>
      </c>
      <c r="C11" s="378"/>
      <c r="D11" s="378"/>
      <c r="E11" s="378"/>
      <c r="F11" s="378"/>
      <c r="G11" s="378"/>
      <c r="H11" s="378"/>
    </row>
    <row r="12" spans="1:8" x14ac:dyDescent="0.25">
      <c r="A12" s="250"/>
      <c r="B12" s="361" t="s">
        <v>488</v>
      </c>
      <c r="C12" s="361"/>
      <c r="D12" s="361"/>
      <c r="E12" s="361"/>
      <c r="F12" s="361"/>
      <c r="G12" s="361"/>
      <c r="H12" s="361"/>
    </row>
    <row r="13" spans="1:8" x14ac:dyDescent="0.25">
      <c r="A13" s="362">
        <v>1</v>
      </c>
      <c r="B13" s="363" t="s">
        <v>451</v>
      </c>
      <c r="C13" s="364" t="s">
        <v>148</v>
      </c>
      <c r="D13" s="364"/>
      <c r="E13" s="365" t="s">
        <v>149</v>
      </c>
      <c r="F13" s="365"/>
      <c r="G13" s="365" t="s">
        <v>165</v>
      </c>
      <c r="H13" s="365"/>
    </row>
    <row r="14" spans="1:8" ht="36.75" customHeight="1" x14ac:dyDescent="0.25">
      <c r="A14" s="362"/>
      <c r="B14" s="363"/>
      <c r="C14" s="363" t="s">
        <v>452</v>
      </c>
      <c r="D14" s="363"/>
      <c r="E14" s="363" t="s">
        <v>453</v>
      </c>
      <c r="F14" s="363"/>
      <c r="G14" s="363" t="s">
        <v>454</v>
      </c>
      <c r="H14" s="363"/>
    </row>
    <row r="15" spans="1:8" x14ac:dyDescent="0.25">
      <c r="A15" s="362"/>
      <c r="B15" s="237" t="s">
        <v>455</v>
      </c>
      <c r="C15" s="366" t="s">
        <v>473</v>
      </c>
      <c r="D15" s="366"/>
      <c r="E15" s="367">
        <f>'CAMPO VERDE'!K118</f>
        <v>3322.27</v>
      </c>
      <c r="F15" s="367"/>
      <c r="G15" s="368">
        <f>ROUND((1/800)*E15,2)</f>
        <v>4.1500000000000004</v>
      </c>
      <c r="H15" s="368"/>
    </row>
    <row r="16" spans="1:8" x14ac:dyDescent="0.25">
      <c r="A16" s="330"/>
      <c r="B16" s="359" t="s">
        <v>137</v>
      </c>
      <c r="C16" s="359"/>
      <c r="D16" s="359"/>
      <c r="E16" s="359"/>
      <c r="F16" s="359"/>
      <c r="G16" s="360">
        <f>G15</f>
        <v>4.1500000000000004</v>
      </c>
      <c r="H16" s="360"/>
    </row>
    <row r="17" spans="1:8" x14ac:dyDescent="0.25">
      <c r="A17" s="250"/>
      <c r="B17" s="361" t="s">
        <v>617</v>
      </c>
      <c r="C17" s="361"/>
      <c r="D17" s="361"/>
      <c r="E17" s="361"/>
      <c r="F17" s="361"/>
      <c r="G17" s="361"/>
      <c r="H17" s="361"/>
    </row>
    <row r="18" spans="1:8" x14ac:dyDescent="0.25">
      <c r="A18" s="362">
        <v>1</v>
      </c>
      <c r="B18" s="363" t="s">
        <v>451</v>
      </c>
      <c r="C18" s="364" t="s">
        <v>148</v>
      </c>
      <c r="D18" s="364"/>
      <c r="E18" s="365" t="s">
        <v>149</v>
      </c>
      <c r="F18" s="365"/>
      <c r="G18" s="365" t="s">
        <v>165</v>
      </c>
      <c r="H18" s="365"/>
    </row>
    <row r="19" spans="1:8" ht="36.75" customHeight="1" x14ac:dyDescent="0.25">
      <c r="A19" s="362"/>
      <c r="B19" s="363"/>
      <c r="C19" s="363" t="s">
        <v>452</v>
      </c>
      <c r="D19" s="363"/>
      <c r="E19" s="363" t="s">
        <v>453</v>
      </c>
      <c r="F19" s="363"/>
      <c r="G19" s="363" t="s">
        <v>454</v>
      </c>
      <c r="H19" s="363"/>
    </row>
    <row r="20" spans="1:8" x14ac:dyDescent="0.25">
      <c r="A20" s="362"/>
      <c r="B20" s="237" t="s">
        <v>455</v>
      </c>
      <c r="C20" s="366" t="s">
        <v>473</v>
      </c>
      <c r="D20" s="366"/>
      <c r="E20" s="367">
        <f>'CAMPO VERDE LAB'!K118</f>
        <v>3359.32</v>
      </c>
      <c r="F20" s="367"/>
      <c r="G20" s="368">
        <f>ROUND((1/800)*E20,2)</f>
        <v>4.2</v>
      </c>
      <c r="H20" s="368"/>
    </row>
    <row r="21" spans="1:8" x14ac:dyDescent="0.25">
      <c r="A21" s="362"/>
      <c r="B21" s="359" t="s">
        <v>137</v>
      </c>
      <c r="C21" s="359"/>
      <c r="D21" s="359"/>
      <c r="E21" s="359"/>
      <c r="F21" s="359"/>
      <c r="G21" s="360">
        <f>G20</f>
        <v>4.2</v>
      </c>
      <c r="H21" s="360"/>
    </row>
    <row r="22" spans="1:8" hidden="1" x14ac:dyDescent="0.25">
      <c r="A22" s="362"/>
      <c r="B22" s="361" t="s">
        <v>490</v>
      </c>
      <c r="C22" s="361"/>
      <c r="D22" s="361"/>
      <c r="E22" s="361"/>
      <c r="F22" s="361"/>
      <c r="G22" s="361"/>
      <c r="H22" s="361"/>
    </row>
    <row r="23" spans="1:8" hidden="1" x14ac:dyDescent="0.25">
      <c r="A23" s="362">
        <v>2</v>
      </c>
      <c r="B23" s="363" t="s">
        <v>451</v>
      </c>
      <c r="C23" s="364" t="s">
        <v>148</v>
      </c>
      <c r="D23" s="364"/>
      <c r="E23" s="365" t="s">
        <v>149</v>
      </c>
      <c r="F23" s="365"/>
      <c r="G23" s="365" t="s">
        <v>165</v>
      </c>
      <c r="H23" s="365"/>
    </row>
    <row r="24" spans="1:8" ht="36.75" hidden="1" customHeight="1" x14ac:dyDescent="0.25">
      <c r="A24" s="362"/>
      <c r="B24" s="363"/>
      <c r="C24" s="363" t="s">
        <v>452</v>
      </c>
      <c r="D24" s="363"/>
      <c r="E24" s="363" t="s">
        <v>453</v>
      </c>
      <c r="F24" s="363"/>
      <c r="G24" s="363" t="s">
        <v>454</v>
      </c>
      <c r="H24" s="363"/>
    </row>
    <row r="25" spans="1:8" hidden="1" x14ac:dyDescent="0.25">
      <c r="A25" s="362"/>
      <c r="B25" s="237" t="s">
        <v>455</v>
      </c>
      <c r="C25" s="366" t="s">
        <v>482</v>
      </c>
      <c r="D25" s="366"/>
      <c r="E25" s="367" t="e">
        <f>#REF!</f>
        <v>#REF!</v>
      </c>
      <c r="F25" s="367"/>
      <c r="G25" s="368" t="e">
        <f>ROUND((1/360)*E25,2)</f>
        <v>#REF!</v>
      </c>
      <c r="H25" s="368"/>
    </row>
    <row r="26" spans="1:8" hidden="1" x14ac:dyDescent="0.25">
      <c r="A26" s="362"/>
      <c r="B26" s="359" t="s">
        <v>137</v>
      </c>
      <c r="C26" s="359"/>
      <c r="D26" s="359"/>
      <c r="E26" s="359"/>
      <c r="F26" s="359"/>
      <c r="G26" s="360" t="e">
        <f>G25</f>
        <v>#REF!</v>
      </c>
      <c r="H26" s="360"/>
    </row>
    <row r="27" spans="1:8" hidden="1" x14ac:dyDescent="0.25">
      <c r="A27" s="362"/>
      <c r="B27" s="361" t="s">
        <v>492</v>
      </c>
      <c r="C27" s="361"/>
      <c r="D27" s="361"/>
      <c r="E27" s="361"/>
      <c r="F27" s="361"/>
      <c r="G27" s="361"/>
      <c r="H27" s="361"/>
    </row>
    <row r="28" spans="1:8" hidden="1" x14ac:dyDescent="0.25">
      <c r="A28" s="362">
        <v>3</v>
      </c>
      <c r="B28" s="363" t="s">
        <v>451</v>
      </c>
      <c r="C28" s="364" t="s">
        <v>148</v>
      </c>
      <c r="D28" s="364"/>
      <c r="E28" s="365" t="s">
        <v>149</v>
      </c>
      <c r="F28" s="365"/>
      <c r="G28" s="365" t="s">
        <v>165</v>
      </c>
      <c r="H28" s="365"/>
    </row>
    <row r="29" spans="1:8" ht="36.75" hidden="1" customHeight="1" x14ac:dyDescent="0.25">
      <c r="A29" s="362"/>
      <c r="B29" s="363"/>
      <c r="C29" s="363" t="s">
        <v>452</v>
      </c>
      <c r="D29" s="363"/>
      <c r="E29" s="363" t="s">
        <v>453</v>
      </c>
      <c r="F29" s="363"/>
      <c r="G29" s="363" t="s">
        <v>454</v>
      </c>
      <c r="H29" s="363"/>
    </row>
    <row r="30" spans="1:8" hidden="1" x14ac:dyDescent="0.25">
      <c r="A30" s="362"/>
      <c r="B30" s="237" t="s">
        <v>455</v>
      </c>
      <c r="C30" s="366" t="s">
        <v>483</v>
      </c>
      <c r="D30" s="366"/>
      <c r="E30" s="367" t="e">
        <f>#REF!</f>
        <v>#REF!</v>
      </c>
      <c r="F30" s="367"/>
      <c r="G30" s="368" t="e">
        <f>ROUND((1/1500)*E30,2)</f>
        <v>#REF!</v>
      </c>
      <c r="H30" s="368"/>
    </row>
    <row r="31" spans="1:8" hidden="1" x14ac:dyDescent="0.25">
      <c r="A31" s="362"/>
      <c r="B31" s="359" t="s">
        <v>137</v>
      </c>
      <c r="C31" s="359"/>
      <c r="D31" s="359"/>
      <c r="E31" s="359"/>
      <c r="F31" s="359"/>
      <c r="G31" s="360" t="e">
        <f>G30</f>
        <v>#REF!</v>
      </c>
      <c r="H31" s="360"/>
    </row>
    <row r="32" spans="1:8" hidden="1" x14ac:dyDescent="0.25">
      <c r="A32" s="362"/>
      <c r="B32" s="361" t="s">
        <v>493</v>
      </c>
      <c r="C32" s="361"/>
      <c r="D32" s="361"/>
      <c r="E32" s="361"/>
      <c r="F32" s="361"/>
      <c r="G32" s="361"/>
      <c r="H32" s="361"/>
    </row>
    <row r="33" spans="1:8" hidden="1" x14ac:dyDescent="0.25">
      <c r="A33" s="362">
        <v>4</v>
      </c>
      <c r="B33" s="363" t="s">
        <v>451</v>
      </c>
      <c r="C33" s="364" t="s">
        <v>148</v>
      </c>
      <c r="D33" s="364"/>
      <c r="E33" s="365" t="s">
        <v>149</v>
      </c>
      <c r="F33" s="365"/>
      <c r="G33" s="365" t="s">
        <v>165</v>
      </c>
      <c r="H33" s="365"/>
    </row>
    <row r="34" spans="1:8" ht="36.75" hidden="1" customHeight="1" x14ac:dyDescent="0.25">
      <c r="A34" s="362"/>
      <c r="B34" s="363"/>
      <c r="C34" s="363" t="s">
        <v>452</v>
      </c>
      <c r="D34" s="363"/>
      <c r="E34" s="363" t="s">
        <v>453</v>
      </c>
      <c r="F34" s="363"/>
      <c r="G34" s="363" t="s">
        <v>454</v>
      </c>
      <c r="H34" s="363"/>
    </row>
    <row r="35" spans="1:8" hidden="1" x14ac:dyDescent="0.25">
      <c r="A35" s="362"/>
      <c r="B35" s="237" t="s">
        <v>455</v>
      </c>
      <c r="C35" s="366" t="s">
        <v>484</v>
      </c>
      <c r="D35" s="366"/>
      <c r="E35" s="367" t="e">
        <f>#REF!</f>
        <v>#REF!</v>
      </c>
      <c r="F35" s="367"/>
      <c r="G35" s="368" t="e">
        <f>ROUND((1/1000)*E35,2)</f>
        <v>#REF!</v>
      </c>
      <c r="H35" s="368"/>
    </row>
    <row r="36" spans="1:8" hidden="1" x14ac:dyDescent="0.25">
      <c r="A36" s="362"/>
      <c r="B36" s="359" t="s">
        <v>137</v>
      </c>
      <c r="C36" s="359"/>
      <c r="D36" s="359"/>
      <c r="E36" s="359"/>
      <c r="F36" s="359"/>
      <c r="G36" s="360" t="e">
        <f>G35</f>
        <v>#REF!</v>
      </c>
      <c r="H36" s="360"/>
    </row>
    <row r="37" spans="1:8" hidden="1" x14ac:dyDescent="0.25">
      <c r="A37" s="362"/>
      <c r="B37" s="361" t="s">
        <v>494</v>
      </c>
      <c r="C37" s="361"/>
      <c r="D37" s="361"/>
      <c r="E37" s="361"/>
      <c r="F37" s="361"/>
      <c r="G37" s="361"/>
      <c r="H37" s="361"/>
    </row>
    <row r="38" spans="1:8" hidden="1" x14ac:dyDescent="0.25">
      <c r="A38" s="362">
        <v>5</v>
      </c>
      <c r="B38" s="363" t="s">
        <v>451</v>
      </c>
      <c r="C38" s="364" t="s">
        <v>148</v>
      </c>
      <c r="D38" s="364"/>
      <c r="E38" s="365" t="s">
        <v>149</v>
      </c>
      <c r="F38" s="365"/>
      <c r="G38" s="365" t="s">
        <v>165</v>
      </c>
      <c r="H38" s="365"/>
    </row>
    <row r="39" spans="1:8" ht="36.75" hidden="1" customHeight="1" x14ac:dyDescent="0.25">
      <c r="A39" s="362"/>
      <c r="B39" s="363"/>
      <c r="C39" s="363" t="s">
        <v>452</v>
      </c>
      <c r="D39" s="363"/>
      <c r="E39" s="363" t="s">
        <v>453</v>
      </c>
      <c r="F39" s="363"/>
      <c r="G39" s="363" t="s">
        <v>454</v>
      </c>
      <c r="H39" s="363"/>
    </row>
    <row r="40" spans="1:8" hidden="1" x14ac:dyDescent="0.25">
      <c r="A40" s="362"/>
      <c r="B40" s="237" t="s">
        <v>455</v>
      </c>
      <c r="C40" s="366" t="s">
        <v>485</v>
      </c>
      <c r="D40" s="366"/>
      <c r="E40" s="367">
        <f>'GRUPO 01 Insal'!J132</f>
        <v>3701.64</v>
      </c>
      <c r="F40" s="367"/>
      <c r="G40" s="368">
        <f>ROUND((1/200)*E40,2)</f>
        <v>18.510000000000002</v>
      </c>
      <c r="H40" s="368"/>
    </row>
    <row r="41" spans="1:8" hidden="1" x14ac:dyDescent="0.25">
      <c r="A41" s="362"/>
      <c r="B41" s="359" t="s">
        <v>137</v>
      </c>
      <c r="C41" s="359"/>
      <c r="D41" s="359"/>
      <c r="E41" s="359"/>
      <c r="F41" s="359"/>
      <c r="G41" s="360">
        <f>G40</f>
        <v>18.510000000000002</v>
      </c>
      <c r="H41" s="360"/>
    </row>
    <row r="42" spans="1:8" hidden="1" x14ac:dyDescent="0.25">
      <c r="A42" s="362"/>
      <c r="B42" s="361" t="s">
        <v>479</v>
      </c>
      <c r="C42" s="361"/>
      <c r="D42" s="361"/>
      <c r="E42" s="361"/>
      <c r="F42" s="361"/>
      <c r="G42" s="361"/>
      <c r="H42" s="361"/>
    </row>
    <row r="43" spans="1:8" hidden="1" x14ac:dyDescent="0.25">
      <c r="A43" s="362">
        <v>6</v>
      </c>
      <c r="B43" s="363" t="s">
        <v>451</v>
      </c>
      <c r="C43" s="364" t="s">
        <v>148</v>
      </c>
      <c r="D43" s="364"/>
      <c r="E43" s="365" t="s">
        <v>149</v>
      </c>
      <c r="F43" s="365"/>
      <c r="G43" s="365" t="s">
        <v>165</v>
      </c>
      <c r="H43" s="365"/>
    </row>
    <row r="44" spans="1:8" ht="36.75" hidden="1" customHeight="1" x14ac:dyDescent="0.25">
      <c r="A44" s="362"/>
      <c r="B44" s="363"/>
      <c r="C44" s="363" t="s">
        <v>452</v>
      </c>
      <c r="D44" s="363"/>
      <c r="E44" s="363" t="s">
        <v>453</v>
      </c>
      <c r="F44" s="363"/>
      <c r="G44" s="363" t="s">
        <v>454</v>
      </c>
      <c r="H44" s="363"/>
    </row>
    <row r="45" spans="1:8" hidden="1" x14ac:dyDescent="0.25">
      <c r="A45" s="362"/>
      <c r="B45" s="237" t="s">
        <v>455</v>
      </c>
      <c r="C45" s="366" t="s">
        <v>486</v>
      </c>
      <c r="D45" s="366"/>
      <c r="E45" s="367" t="e">
        <f>#REF!</f>
        <v>#REF!</v>
      </c>
      <c r="F45" s="367"/>
      <c r="G45" s="368" t="e">
        <f>ROUND((1/6000)*E45,2)</f>
        <v>#REF!</v>
      </c>
      <c r="H45" s="368"/>
    </row>
    <row r="46" spans="1:8" hidden="1" x14ac:dyDescent="0.25">
      <c r="A46" s="362"/>
      <c r="B46" s="359" t="s">
        <v>137</v>
      </c>
      <c r="C46" s="359"/>
      <c r="D46" s="359"/>
      <c r="E46" s="359"/>
      <c r="F46" s="359"/>
      <c r="G46" s="360" t="e">
        <f>G45</f>
        <v>#REF!</v>
      </c>
      <c r="H46" s="360"/>
    </row>
    <row r="47" spans="1:8" hidden="1" x14ac:dyDescent="0.25">
      <c r="A47" s="362"/>
      <c r="B47" s="379" t="s">
        <v>480</v>
      </c>
      <c r="C47" s="379"/>
      <c r="D47" s="379"/>
      <c r="E47" s="379"/>
      <c r="F47" s="379"/>
      <c r="G47" s="379"/>
      <c r="H47" s="379"/>
    </row>
    <row r="48" spans="1:8" hidden="1" x14ac:dyDescent="0.25">
      <c r="A48" s="362"/>
      <c r="B48" s="363" t="s">
        <v>451</v>
      </c>
      <c r="C48" s="257" t="s">
        <v>148</v>
      </c>
      <c r="D48" s="257" t="s">
        <v>149</v>
      </c>
      <c r="E48" s="257" t="s">
        <v>165</v>
      </c>
      <c r="F48" s="257" t="s">
        <v>166</v>
      </c>
      <c r="G48" s="257" t="s">
        <v>167</v>
      </c>
      <c r="H48" s="257" t="s">
        <v>456</v>
      </c>
    </row>
    <row r="49" spans="1:8" ht="48" hidden="1" x14ac:dyDescent="0.25">
      <c r="A49" s="362"/>
      <c r="B49" s="363"/>
      <c r="C49" s="255" t="s">
        <v>457</v>
      </c>
      <c r="D49" s="255" t="s">
        <v>458</v>
      </c>
      <c r="E49" s="255" t="s">
        <v>459</v>
      </c>
      <c r="F49" s="255" t="s">
        <v>460</v>
      </c>
      <c r="G49" s="255" t="s">
        <v>461</v>
      </c>
      <c r="H49" s="255" t="s">
        <v>462</v>
      </c>
    </row>
    <row r="50" spans="1:8" hidden="1" x14ac:dyDescent="0.25">
      <c r="A50" s="362"/>
      <c r="B50" s="237" t="s">
        <v>455</v>
      </c>
      <c r="C50" s="256" t="s">
        <v>487</v>
      </c>
      <c r="D50" s="256" t="s">
        <v>463</v>
      </c>
      <c r="E50" s="256" t="s">
        <v>464</v>
      </c>
      <c r="F50" s="241">
        <f>ROUND((1/300)*16*(1/191.4),6)</f>
        <v>2.7900000000000001E-4</v>
      </c>
      <c r="G50" s="235" t="e">
        <f>#REF!</f>
        <v>#REF!</v>
      </c>
      <c r="H50" s="242" t="e">
        <f>ROUND(F50*G50,2)</f>
        <v>#REF!</v>
      </c>
    </row>
    <row r="51" spans="1:8" hidden="1" x14ac:dyDescent="0.25">
      <c r="A51" s="362"/>
      <c r="B51" s="359" t="s">
        <v>137</v>
      </c>
      <c r="C51" s="359"/>
      <c r="D51" s="359"/>
      <c r="E51" s="359"/>
      <c r="F51" s="359"/>
      <c r="G51" s="359"/>
      <c r="H51" s="243" t="e">
        <f>SUM(H50:H50)</f>
        <v>#REF!</v>
      </c>
    </row>
    <row r="52" spans="1:8" x14ac:dyDescent="0.25">
      <c r="A52" s="362"/>
      <c r="B52" s="379" t="s">
        <v>480</v>
      </c>
      <c r="C52" s="379"/>
      <c r="D52" s="379"/>
      <c r="E52" s="379"/>
      <c r="F52" s="379"/>
      <c r="G52" s="379"/>
      <c r="H52" s="379"/>
    </row>
    <row r="53" spans="1:8" x14ac:dyDescent="0.25">
      <c r="A53" s="362">
        <v>7</v>
      </c>
      <c r="B53" s="363" t="s">
        <v>451</v>
      </c>
      <c r="C53" s="238" t="s">
        <v>148</v>
      </c>
      <c r="D53" s="238" t="s">
        <v>149</v>
      </c>
      <c r="E53" s="238" t="s">
        <v>165</v>
      </c>
      <c r="F53" s="238" t="s">
        <v>166</v>
      </c>
      <c r="G53" s="238" t="s">
        <v>167</v>
      </c>
      <c r="H53" s="238" t="s">
        <v>456</v>
      </c>
    </row>
    <row r="54" spans="1:8" ht="48" x14ac:dyDescent="0.25">
      <c r="A54" s="362"/>
      <c r="B54" s="363"/>
      <c r="C54" s="239" t="s">
        <v>457</v>
      </c>
      <c r="D54" s="239" t="s">
        <v>458</v>
      </c>
      <c r="E54" s="239" t="s">
        <v>459</v>
      </c>
      <c r="F54" s="239" t="s">
        <v>460</v>
      </c>
      <c r="G54" s="239" t="s">
        <v>461</v>
      </c>
      <c r="H54" s="239" t="s">
        <v>462</v>
      </c>
    </row>
    <row r="55" spans="1:8" x14ac:dyDescent="0.25">
      <c r="A55" s="362"/>
      <c r="B55" s="237" t="s">
        <v>455</v>
      </c>
      <c r="C55" s="240" t="s">
        <v>612</v>
      </c>
      <c r="D55" s="240" t="s">
        <v>463</v>
      </c>
      <c r="E55" s="240" t="s">
        <v>464</v>
      </c>
      <c r="F55" s="241">
        <f>ROUND((1/135)*16*(1/191.4),6)</f>
        <v>6.1899999999999998E-4</v>
      </c>
      <c r="G55" s="235">
        <f>'CAMPO VERDE EXT'!K118</f>
        <v>3359.32</v>
      </c>
      <c r="H55" s="242">
        <f>ROUND(F55*G55,2)</f>
        <v>2.08</v>
      </c>
    </row>
    <row r="56" spans="1:8" x14ac:dyDescent="0.25">
      <c r="A56" s="362"/>
      <c r="B56" s="359" t="s">
        <v>137</v>
      </c>
      <c r="C56" s="359"/>
      <c r="D56" s="359"/>
      <c r="E56" s="359"/>
      <c r="F56" s="359"/>
      <c r="G56" s="359"/>
      <c r="H56" s="243">
        <f>SUM(H55:H55)</f>
        <v>2.08</v>
      </c>
    </row>
    <row r="57" spans="1:8" x14ac:dyDescent="0.25">
      <c r="A57" s="362"/>
      <c r="B57" s="379" t="s">
        <v>481</v>
      </c>
      <c r="C57" s="379"/>
      <c r="D57" s="379"/>
      <c r="E57" s="379"/>
      <c r="F57" s="379"/>
      <c r="G57" s="379"/>
      <c r="H57" s="379"/>
    </row>
    <row r="58" spans="1:8" x14ac:dyDescent="0.25">
      <c r="A58" s="362">
        <v>8</v>
      </c>
      <c r="B58" s="363" t="s">
        <v>451</v>
      </c>
      <c r="C58" s="238" t="s">
        <v>148</v>
      </c>
      <c r="D58" s="238" t="s">
        <v>149</v>
      </c>
      <c r="E58" s="238" t="s">
        <v>165</v>
      </c>
      <c r="F58" s="238" t="s">
        <v>166</v>
      </c>
      <c r="G58" s="238" t="s">
        <v>167</v>
      </c>
      <c r="H58" s="238" t="s">
        <v>456</v>
      </c>
    </row>
    <row r="59" spans="1:8" ht="48" x14ac:dyDescent="0.25">
      <c r="A59" s="362"/>
      <c r="B59" s="363"/>
      <c r="C59" s="239" t="s">
        <v>457</v>
      </c>
      <c r="D59" s="239" t="s">
        <v>458</v>
      </c>
      <c r="E59" s="239" t="s">
        <v>459</v>
      </c>
      <c r="F59" s="239" t="s">
        <v>460</v>
      </c>
      <c r="G59" s="239" t="s">
        <v>461</v>
      </c>
      <c r="H59" s="239" t="s">
        <v>462</v>
      </c>
    </row>
    <row r="60" spans="1:8" x14ac:dyDescent="0.25">
      <c r="A60" s="362"/>
      <c r="B60" s="237" t="s">
        <v>455</v>
      </c>
      <c r="C60" s="240" t="s">
        <v>611</v>
      </c>
      <c r="D60" s="240" t="s">
        <v>463</v>
      </c>
      <c r="E60" s="240" t="s">
        <v>464</v>
      </c>
      <c r="F60" s="241">
        <f>ROUND((1/255)*16*(1/191.4),6)</f>
        <v>3.28E-4</v>
      </c>
      <c r="G60" s="235">
        <f>'CAMPO VERDE ESQ'!K118</f>
        <v>3359.32</v>
      </c>
      <c r="H60" s="242">
        <f>ROUND(F60*G60,2)</f>
        <v>1.1000000000000001</v>
      </c>
    </row>
    <row r="61" spans="1:8" x14ac:dyDescent="0.25">
      <c r="A61" s="251"/>
      <c r="B61" s="359" t="s">
        <v>137</v>
      </c>
      <c r="C61" s="359"/>
      <c r="D61" s="359"/>
      <c r="E61" s="359"/>
      <c r="F61" s="359"/>
      <c r="G61" s="359"/>
      <c r="H61" s="243">
        <f>SUM(H60:H60)</f>
        <v>1.1000000000000001</v>
      </c>
    </row>
    <row r="62" spans="1:8" x14ac:dyDescent="0.25">
      <c r="A62" s="214" t="s">
        <v>298</v>
      </c>
      <c r="B62" s="387" t="s">
        <v>475</v>
      </c>
      <c r="C62" s="387"/>
      <c r="D62" s="387"/>
      <c r="E62" s="387"/>
      <c r="F62" s="387"/>
      <c r="G62" s="387"/>
      <c r="H62" s="387"/>
    </row>
    <row r="63" spans="1:8" x14ac:dyDescent="0.25">
      <c r="A63" s="249">
        <v>1</v>
      </c>
      <c r="B63" s="390" t="s">
        <v>476</v>
      </c>
      <c r="C63" s="383"/>
      <c r="D63" s="384"/>
      <c r="E63" s="244">
        <f>G16</f>
        <v>4.1500000000000004</v>
      </c>
      <c r="F63" s="245">
        <v>1191</v>
      </c>
      <c r="G63" s="391">
        <f t="shared" ref="G63:G70" si="0">E63*F63</f>
        <v>4942.6499999999996</v>
      </c>
      <c r="H63" s="392"/>
    </row>
    <row r="64" spans="1:8" ht="15.75" x14ac:dyDescent="0.25">
      <c r="A64" s="249">
        <v>2</v>
      </c>
      <c r="B64" s="382" t="s">
        <v>489</v>
      </c>
      <c r="C64" s="383"/>
      <c r="D64" s="384"/>
      <c r="E64" s="244">
        <f>G21</f>
        <v>4.2</v>
      </c>
      <c r="F64" s="245">
        <v>795</v>
      </c>
      <c r="G64" s="359">
        <f t="shared" si="0"/>
        <v>3339</v>
      </c>
      <c r="H64" s="385"/>
    </row>
    <row r="65" spans="1:8" ht="15.75" x14ac:dyDescent="0.25">
      <c r="A65" s="249">
        <v>3</v>
      </c>
      <c r="B65" s="382" t="s">
        <v>491</v>
      </c>
      <c r="C65" s="383"/>
      <c r="D65" s="384"/>
      <c r="E65" s="244">
        <f>G16</f>
        <v>4.1500000000000004</v>
      </c>
      <c r="F65" s="245">
        <v>17</v>
      </c>
      <c r="G65" s="359">
        <f t="shared" si="0"/>
        <v>70.55</v>
      </c>
      <c r="H65" s="385"/>
    </row>
    <row r="66" spans="1:8" ht="27.75" customHeight="1" x14ac:dyDescent="0.25">
      <c r="A66" s="249">
        <v>4</v>
      </c>
      <c r="B66" s="382" t="s">
        <v>477</v>
      </c>
      <c r="C66" s="388"/>
      <c r="D66" s="389"/>
      <c r="E66" s="244">
        <f>G16</f>
        <v>4.1500000000000004</v>
      </c>
      <c r="F66" s="245">
        <v>651</v>
      </c>
      <c r="G66" s="359">
        <f t="shared" si="0"/>
        <v>2701.65</v>
      </c>
      <c r="H66" s="385"/>
    </row>
    <row r="67" spans="1:8" ht="27" customHeight="1" x14ac:dyDescent="0.25">
      <c r="A67" s="249">
        <v>5</v>
      </c>
      <c r="B67" s="382" t="s">
        <v>478</v>
      </c>
      <c r="C67" s="383"/>
      <c r="D67" s="384"/>
      <c r="E67" s="244">
        <f>G21</f>
        <v>4.2</v>
      </c>
      <c r="F67" s="245">
        <v>148</v>
      </c>
      <c r="G67" s="359">
        <f t="shared" si="0"/>
        <v>621.6</v>
      </c>
      <c r="H67" s="385"/>
    </row>
    <row r="68" spans="1:8" ht="41.25" customHeight="1" x14ac:dyDescent="0.25">
      <c r="A68" s="249">
        <v>6</v>
      </c>
      <c r="B68" s="382" t="s">
        <v>479</v>
      </c>
      <c r="C68" s="383"/>
      <c r="D68" s="384"/>
      <c r="E68" s="244">
        <f>H56</f>
        <v>2.08</v>
      </c>
      <c r="F68" s="245">
        <v>1048</v>
      </c>
      <c r="G68" s="359">
        <f t="shared" si="0"/>
        <v>2179.84</v>
      </c>
      <c r="H68" s="385"/>
    </row>
    <row r="69" spans="1:8" ht="25.5" customHeight="1" x14ac:dyDescent="0.25">
      <c r="A69" s="249">
        <v>7</v>
      </c>
      <c r="B69" s="382" t="s">
        <v>480</v>
      </c>
      <c r="C69" s="383"/>
      <c r="D69" s="384"/>
      <c r="E69" s="244">
        <f>H61</f>
        <v>1.1000000000000001</v>
      </c>
      <c r="F69" s="245">
        <v>447</v>
      </c>
      <c r="G69" s="359">
        <f t="shared" ref="G69" si="1">E69*F69</f>
        <v>491.7</v>
      </c>
      <c r="H69" s="385"/>
    </row>
    <row r="70" spans="1:8" ht="27" customHeight="1" x14ac:dyDescent="0.25">
      <c r="A70" s="249">
        <v>8</v>
      </c>
      <c r="B70" s="382" t="s">
        <v>481</v>
      </c>
      <c r="C70" s="383"/>
      <c r="D70" s="384"/>
      <c r="E70" s="244">
        <f>H61</f>
        <v>1.1000000000000001</v>
      </c>
      <c r="F70" s="245">
        <v>524</v>
      </c>
      <c r="G70" s="359">
        <f t="shared" si="0"/>
        <v>576.4</v>
      </c>
      <c r="H70" s="385"/>
    </row>
    <row r="71" spans="1:8" x14ac:dyDescent="0.25">
      <c r="A71" s="393" t="s">
        <v>465</v>
      </c>
      <c r="B71" s="393"/>
      <c r="C71" s="393"/>
      <c r="D71" s="393"/>
      <c r="E71" s="393"/>
      <c r="F71" s="393"/>
      <c r="G71" s="386">
        <f>SUM(G63:H70)</f>
        <v>14923.39</v>
      </c>
      <c r="H71" s="386"/>
    </row>
    <row r="72" spans="1:8" x14ac:dyDescent="0.25">
      <c r="A72" s="369"/>
      <c r="B72" s="369"/>
      <c r="C72" s="369"/>
      <c r="D72" s="369"/>
      <c r="E72" s="369"/>
      <c r="F72" s="369"/>
      <c r="G72" s="369"/>
      <c r="H72" s="369"/>
    </row>
    <row r="73" spans="1:8" x14ac:dyDescent="0.25">
      <c r="A73" s="393" t="s">
        <v>466</v>
      </c>
      <c r="B73" s="394"/>
      <c r="C73" s="394"/>
      <c r="D73" s="394"/>
      <c r="E73" s="394"/>
      <c r="F73" s="394"/>
      <c r="G73" s="395">
        <f>G71*12</f>
        <v>179080.68</v>
      </c>
      <c r="H73" s="395"/>
    </row>
    <row r="74" spans="1:8" x14ac:dyDescent="0.25">
      <c r="B74" s="246"/>
      <c r="C74" s="246"/>
      <c r="D74" s="247"/>
      <c r="E74" s="247"/>
      <c r="F74" s="247"/>
      <c r="G74" s="248"/>
      <c r="H74" s="247"/>
    </row>
    <row r="75" spans="1:8" x14ac:dyDescent="0.25">
      <c r="B75" s="381" t="s">
        <v>496</v>
      </c>
      <c r="C75" s="381"/>
      <c r="D75" s="381"/>
      <c r="E75" s="381"/>
      <c r="F75" s="381"/>
      <c r="G75" s="381"/>
      <c r="H75" s="381"/>
    </row>
    <row r="76" spans="1:8" x14ac:dyDescent="0.25">
      <c r="B76" s="246"/>
      <c r="C76" s="246"/>
      <c r="D76" s="247"/>
      <c r="E76" s="247"/>
      <c r="F76" s="247"/>
      <c r="G76" s="248"/>
      <c r="H76" s="247"/>
    </row>
    <row r="77" spans="1:8" x14ac:dyDescent="0.25">
      <c r="B77" s="246"/>
      <c r="C77" s="246"/>
      <c r="D77" s="247"/>
      <c r="E77" s="247"/>
      <c r="F77" s="247"/>
      <c r="G77" s="248"/>
      <c r="H77" s="247"/>
    </row>
    <row r="78" spans="1:8" x14ac:dyDescent="0.25">
      <c r="A78" s="380" t="s">
        <v>467</v>
      </c>
      <c r="B78" s="380"/>
      <c r="C78" s="380"/>
      <c r="D78" s="380"/>
      <c r="E78" s="380"/>
      <c r="F78" s="380"/>
      <c r="G78" s="380"/>
      <c r="H78" s="380"/>
    </row>
    <row r="79" spans="1:8" x14ac:dyDescent="0.25">
      <c r="A79" s="380" t="s">
        <v>497</v>
      </c>
      <c r="B79" s="380"/>
      <c r="C79" s="380"/>
      <c r="D79" s="380"/>
      <c r="E79" s="380"/>
      <c r="F79" s="380"/>
      <c r="G79" s="380"/>
      <c r="H79" s="380"/>
    </row>
  </sheetData>
  <mergeCells count="154">
    <mergeCell ref="A79:H79"/>
    <mergeCell ref="B53:B54"/>
    <mergeCell ref="B56:G56"/>
    <mergeCell ref="B57:H57"/>
    <mergeCell ref="B58:B59"/>
    <mergeCell ref="B61:G61"/>
    <mergeCell ref="B62:H62"/>
    <mergeCell ref="B52:H52"/>
    <mergeCell ref="B66:D66"/>
    <mergeCell ref="G66:H66"/>
    <mergeCell ref="B67:D67"/>
    <mergeCell ref="G67:H67"/>
    <mergeCell ref="B68:D68"/>
    <mergeCell ref="G68:H68"/>
    <mergeCell ref="B63:D63"/>
    <mergeCell ref="G63:H63"/>
    <mergeCell ref="B64:D64"/>
    <mergeCell ref="G64:H64"/>
    <mergeCell ref="A71:F71"/>
    <mergeCell ref="A73:F73"/>
    <mergeCell ref="A72:H72"/>
    <mergeCell ref="G73:H73"/>
    <mergeCell ref="A18:A20"/>
    <mergeCell ref="A23:A25"/>
    <mergeCell ref="A28:A30"/>
    <mergeCell ref="A33:A35"/>
    <mergeCell ref="A43:A45"/>
    <mergeCell ref="A38:A40"/>
    <mergeCell ref="A78:H78"/>
    <mergeCell ref="B75:H75"/>
    <mergeCell ref="B69:D69"/>
    <mergeCell ref="G69:H69"/>
    <mergeCell ref="A53:A55"/>
    <mergeCell ref="A58:A60"/>
    <mergeCell ref="B43:B44"/>
    <mergeCell ref="C43:D43"/>
    <mergeCell ref="E43:F43"/>
    <mergeCell ref="G43:H43"/>
    <mergeCell ref="C44:D44"/>
    <mergeCell ref="E44:F44"/>
    <mergeCell ref="G44:H44"/>
    <mergeCell ref="B65:D65"/>
    <mergeCell ref="G65:H65"/>
    <mergeCell ref="B70:D70"/>
    <mergeCell ref="G70:H70"/>
    <mergeCell ref="G71:H71"/>
    <mergeCell ref="B47:H47"/>
    <mergeCell ref="B48:B49"/>
    <mergeCell ref="B51:G51"/>
    <mergeCell ref="B38:B39"/>
    <mergeCell ref="C38:D38"/>
    <mergeCell ref="E38:F38"/>
    <mergeCell ref="G38:H38"/>
    <mergeCell ref="C39:D39"/>
    <mergeCell ref="E39:F39"/>
    <mergeCell ref="G39:H39"/>
    <mergeCell ref="C45:D45"/>
    <mergeCell ref="E45:F45"/>
    <mergeCell ref="G45:H45"/>
    <mergeCell ref="B46:F46"/>
    <mergeCell ref="G46:H46"/>
    <mergeCell ref="C40:D40"/>
    <mergeCell ref="E40:F40"/>
    <mergeCell ref="G40:H40"/>
    <mergeCell ref="B41:F41"/>
    <mergeCell ref="G41:H41"/>
    <mergeCell ref="B42:H42"/>
    <mergeCell ref="C35:D35"/>
    <mergeCell ref="E35:F35"/>
    <mergeCell ref="G35:H35"/>
    <mergeCell ref="B36:F36"/>
    <mergeCell ref="G36:H36"/>
    <mergeCell ref="B37:H37"/>
    <mergeCell ref="B33:B34"/>
    <mergeCell ref="C33:D33"/>
    <mergeCell ref="E33:F33"/>
    <mergeCell ref="G33:H33"/>
    <mergeCell ref="C34:D34"/>
    <mergeCell ref="E34:F34"/>
    <mergeCell ref="G34:H34"/>
    <mergeCell ref="C30:D30"/>
    <mergeCell ref="E30:F30"/>
    <mergeCell ref="G30:H30"/>
    <mergeCell ref="B31:F31"/>
    <mergeCell ref="G31:H31"/>
    <mergeCell ref="B32:H32"/>
    <mergeCell ref="B28:B29"/>
    <mergeCell ref="C28:D28"/>
    <mergeCell ref="E28:F28"/>
    <mergeCell ref="G28:H28"/>
    <mergeCell ref="C29:D29"/>
    <mergeCell ref="E29:F29"/>
    <mergeCell ref="G29:H29"/>
    <mergeCell ref="C25:D25"/>
    <mergeCell ref="E25:F25"/>
    <mergeCell ref="G25:H25"/>
    <mergeCell ref="B26:F26"/>
    <mergeCell ref="G26:H26"/>
    <mergeCell ref="B27:H27"/>
    <mergeCell ref="G18:H18"/>
    <mergeCell ref="C19:D19"/>
    <mergeCell ref="B22:H22"/>
    <mergeCell ref="B23:B24"/>
    <mergeCell ref="C23:D23"/>
    <mergeCell ref="E23:F23"/>
    <mergeCell ref="G23:H23"/>
    <mergeCell ref="C24:D24"/>
    <mergeCell ref="E24:F24"/>
    <mergeCell ref="G24:H24"/>
    <mergeCell ref="E19:F19"/>
    <mergeCell ref="G19:H19"/>
    <mergeCell ref="C20:D20"/>
    <mergeCell ref="E20:F20"/>
    <mergeCell ref="G20:H20"/>
    <mergeCell ref="B21:F21"/>
    <mergeCell ref="G21:H21"/>
    <mergeCell ref="A36:A37"/>
    <mergeCell ref="A41:A42"/>
    <mergeCell ref="A46:A52"/>
    <mergeCell ref="A56:A57"/>
    <mergeCell ref="A8:A11"/>
    <mergeCell ref="A2:H2"/>
    <mergeCell ref="A3:H3"/>
    <mergeCell ref="A1:H1"/>
    <mergeCell ref="A4:H4"/>
    <mergeCell ref="A6:H6"/>
    <mergeCell ref="B8:C8"/>
    <mergeCell ref="D8:E8"/>
    <mergeCell ref="F8:H8"/>
    <mergeCell ref="A31:A32"/>
    <mergeCell ref="A26:A27"/>
    <mergeCell ref="A21:A22"/>
    <mergeCell ref="B9:C9"/>
    <mergeCell ref="D9:E9"/>
    <mergeCell ref="F9:H9"/>
    <mergeCell ref="B11:H11"/>
    <mergeCell ref="B17:H17"/>
    <mergeCell ref="B18:B19"/>
    <mergeCell ref="C18:D18"/>
    <mergeCell ref="E18:F18"/>
    <mergeCell ref="B16:F16"/>
    <mergeCell ref="G16:H16"/>
    <mergeCell ref="B12:H12"/>
    <mergeCell ref="A13:A15"/>
    <mergeCell ref="B13:B14"/>
    <mergeCell ref="C13:D13"/>
    <mergeCell ref="E13:F13"/>
    <mergeCell ref="G13:H13"/>
    <mergeCell ref="C14:D14"/>
    <mergeCell ref="E14:F14"/>
    <mergeCell ref="G14:H14"/>
    <mergeCell ref="C15:D15"/>
    <mergeCell ref="E15:F15"/>
    <mergeCell ref="G15:H15"/>
  </mergeCells>
  <pageMargins left="0.511811024" right="0.511811024" top="0.78740157499999996" bottom="0.78740157499999996" header="0.31496062000000002" footer="0.31496062000000002"/>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3"/>
  <sheetViews>
    <sheetView topLeftCell="A10" workbookViewId="0">
      <selection activeCell="G19" sqref="G19"/>
    </sheetView>
  </sheetViews>
  <sheetFormatPr defaultRowHeight="15" x14ac:dyDescent="0.25"/>
  <cols>
    <col min="1" max="1" width="48.7109375" style="184" customWidth="1"/>
    <col min="2" max="2" width="14.140625" customWidth="1"/>
    <col min="3" max="3" width="14.42578125" style="193" customWidth="1"/>
    <col min="4" max="4" width="14.85546875" customWidth="1"/>
  </cols>
  <sheetData>
    <row r="2" spans="1:4" x14ac:dyDescent="0.25">
      <c r="A2" s="571" t="s">
        <v>412</v>
      </c>
      <c r="B2" s="571"/>
      <c r="C2" s="571"/>
      <c r="D2" s="571"/>
    </row>
    <row r="3" spans="1:4" x14ac:dyDescent="0.25">
      <c r="A3" s="572" t="s">
        <v>408</v>
      </c>
      <c r="B3" s="572"/>
      <c r="C3" s="572"/>
      <c r="D3" s="572"/>
    </row>
    <row r="4" spans="1:4" x14ac:dyDescent="0.25">
      <c r="A4" s="190" t="s">
        <v>439</v>
      </c>
      <c r="B4" s="190" t="s">
        <v>440</v>
      </c>
      <c r="C4" s="191" t="s">
        <v>441</v>
      </c>
      <c r="D4" s="190" t="s">
        <v>442</v>
      </c>
    </row>
    <row r="5" spans="1:4" x14ac:dyDescent="0.25">
      <c r="A5" s="185" t="s">
        <v>413</v>
      </c>
      <c r="B5" s="186">
        <v>1</v>
      </c>
      <c r="C5" s="192">
        <v>404.5</v>
      </c>
      <c r="D5" s="187">
        <v>404.5</v>
      </c>
    </row>
    <row r="6" spans="1:4" x14ac:dyDescent="0.25">
      <c r="A6" s="188" t="s">
        <v>414</v>
      </c>
      <c r="B6" s="186">
        <v>70</v>
      </c>
      <c r="C6" s="192">
        <v>9</v>
      </c>
      <c r="D6" s="187">
        <v>388.5</v>
      </c>
    </row>
    <row r="7" spans="1:4" x14ac:dyDescent="0.25">
      <c r="A7" s="185" t="s">
        <v>415</v>
      </c>
      <c r="B7" s="186">
        <v>10</v>
      </c>
      <c r="C7" s="192">
        <v>117</v>
      </c>
      <c r="D7" s="187">
        <v>679.5</v>
      </c>
    </row>
    <row r="8" spans="1:4" x14ac:dyDescent="0.25">
      <c r="A8" s="185" t="s">
        <v>416</v>
      </c>
      <c r="B8" s="186">
        <v>30</v>
      </c>
      <c r="C8" s="192">
        <v>8.75</v>
      </c>
      <c r="D8" s="187">
        <v>123.3</v>
      </c>
    </row>
    <row r="9" spans="1:4" x14ac:dyDescent="0.25">
      <c r="A9" s="185" t="s">
        <v>417</v>
      </c>
      <c r="B9" s="186">
        <v>10</v>
      </c>
      <c r="C9" s="192">
        <v>1770</v>
      </c>
      <c r="D9" s="187" t="s">
        <v>444</v>
      </c>
    </row>
    <row r="10" spans="1:4" x14ac:dyDescent="0.25">
      <c r="A10" s="185" t="s">
        <v>418</v>
      </c>
      <c r="B10" s="186">
        <v>30</v>
      </c>
      <c r="C10" s="192">
        <v>52.45</v>
      </c>
      <c r="D10" s="187">
        <v>994.95</v>
      </c>
    </row>
    <row r="11" spans="1:4" ht="30" x14ac:dyDescent="0.25">
      <c r="A11" s="188" t="s">
        <v>419</v>
      </c>
      <c r="B11" s="186">
        <v>30</v>
      </c>
      <c r="C11" s="192">
        <v>589.9</v>
      </c>
      <c r="D11" s="187">
        <v>8564.9</v>
      </c>
    </row>
    <row r="12" spans="1:4" x14ac:dyDescent="0.25">
      <c r="A12" s="185" t="s">
        <v>420</v>
      </c>
      <c r="B12" s="186">
        <v>30</v>
      </c>
      <c r="C12" s="192">
        <v>4.0999999999999996</v>
      </c>
      <c r="D12" s="187">
        <v>62.1</v>
      </c>
    </row>
    <row r="13" spans="1:4" x14ac:dyDescent="0.25">
      <c r="A13" s="188" t="s">
        <v>421</v>
      </c>
      <c r="B13" s="186">
        <v>35</v>
      </c>
      <c r="C13" s="192">
        <v>5.48</v>
      </c>
      <c r="D13" s="187">
        <v>107.48</v>
      </c>
    </row>
    <row r="14" spans="1:4" ht="60" x14ac:dyDescent="0.25">
      <c r="A14" s="188" t="s">
        <v>422</v>
      </c>
      <c r="B14" s="186">
        <v>30</v>
      </c>
      <c r="C14" s="192">
        <v>131.44999999999999</v>
      </c>
      <c r="D14" s="187">
        <v>1566.95</v>
      </c>
    </row>
    <row r="15" spans="1:4" x14ac:dyDescent="0.25">
      <c r="A15" s="185" t="s">
        <v>423</v>
      </c>
      <c r="B15" s="186">
        <v>30</v>
      </c>
      <c r="C15" s="192">
        <v>34.25</v>
      </c>
      <c r="D15" s="187">
        <v>541.75</v>
      </c>
    </row>
    <row r="16" spans="1:4" x14ac:dyDescent="0.25">
      <c r="A16" s="185" t="s">
        <v>424</v>
      </c>
      <c r="B16" s="186">
        <v>30</v>
      </c>
      <c r="C16" s="192">
        <v>17.399999999999999</v>
      </c>
      <c r="D16" s="187">
        <v>234.9</v>
      </c>
    </row>
    <row r="17" spans="1:4" x14ac:dyDescent="0.25">
      <c r="A17" s="185" t="s">
        <v>425</v>
      </c>
      <c r="B17" s="186">
        <v>35</v>
      </c>
      <c r="C17" s="192">
        <v>41.75</v>
      </c>
      <c r="D17" s="187">
        <v>704.75</v>
      </c>
    </row>
    <row r="18" spans="1:4" ht="45" x14ac:dyDescent="0.25">
      <c r="A18" s="188" t="s">
        <v>426</v>
      </c>
      <c r="B18" s="186">
        <v>30</v>
      </c>
      <c r="C18" s="192">
        <v>108.5</v>
      </c>
      <c r="D18" s="187">
        <v>1848.5</v>
      </c>
    </row>
    <row r="19" spans="1:4" ht="30" x14ac:dyDescent="0.25">
      <c r="A19" s="188" t="s">
        <v>427</v>
      </c>
      <c r="B19" s="186">
        <v>10</v>
      </c>
      <c r="C19" s="192">
        <v>1249.5</v>
      </c>
      <c r="D19" s="187">
        <v>8224.5</v>
      </c>
    </row>
    <row r="20" spans="1:4" x14ac:dyDescent="0.25">
      <c r="A20" s="188" t="s">
        <v>428</v>
      </c>
      <c r="B20" s="186">
        <v>30</v>
      </c>
      <c r="C20" s="192">
        <v>31.68</v>
      </c>
      <c r="D20" s="187">
        <v>829.18</v>
      </c>
    </row>
    <row r="21" spans="1:4" x14ac:dyDescent="0.25">
      <c r="A21" s="185" t="s">
        <v>429</v>
      </c>
      <c r="B21" s="175">
        <v>35</v>
      </c>
      <c r="C21" s="192">
        <v>45.45</v>
      </c>
      <c r="D21" s="187">
        <v>810.45</v>
      </c>
    </row>
    <row r="22" spans="1:4" x14ac:dyDescent="0.25">
      <c r="A22" s="185" t="s">
        <v>430</v>
      </c>
      <c r="B22" s="175">
        <v>30</v>
      </c>
      <c r="C22" s="192">
        <v>28.5</v>
      </c>
      <c r="D22" s="187">
        <v>391</v>
      </c>
    </row>
    <row r="23" spans="1:4" x14ac:dyDescent="0.25">
      <c r="A23" s="185" t="s">
        <v>431</v>
      </c>
      <c r="B23" s="186">
        <v>10</v>
      </c>
      <c r="C23" s="192">
        <v>2054.5</v>
      </c>
      <c r="D23" s="187">
        <v>13529.5</v>
      </c>
    </row>
    <row r="24" spans="1:4" x14ac:dyDescent="0.25">
      <c r="A24" s="188" t="s">
        <v>432</v>
      </c>
      <c r="B24" s="186">
        <v>35</v>
      </c>
      <c r="C24" s="192">
        <v>13.53</v>
      </c>
      <c r="D24" s="187">
        <v>370.53</v>
      </c>
    </row>
    <row r="25" spans="1:4" x14ac:dyDescent="0.25">
      <c r="A25" s="185" t="s">
        <v>433</v>
      </c>
      <c r="B25" s="186">
        <v>30</v>
      </c>
      <c r="C25" s="192">
        <v>17.78</v>
      </c>
      <c r="D25" s="187">
        <v>394.78</v>
      </c>
    </row>
    <row r="26" spans="1:4" x14ac:dyDescent="0.25">
      <c r="A26" s="185" t="s">
        <v>434</v>
      </c>
      <c r="B26" s="186">
        <v>35</v>
      </c>
      <c r="C26" s="192">
        <v>8.43</v>
      </c>
      <c r="D26" s="187">
        <v>195.43</v>
      </c>
    </row>
    <row r="27" spans="1:4" x14ac:dyDescent="0.25">
      <c r="A27" s="185" t="s">
        <v>435</v>
      </c>
      <c r="B27" s="186">
        <v>35</v>
      </c>
      <c r="C27" s="192">
        <v>9.34</v>
      </c>
      <c r="D27" s="187">
        <v>196.34</v>
      </c>
    </row>
    <row r="28" spans="1:4" x14ac:dyDescent="0.25">
      <c r="A28" s="185" t="s">
        <v>436</v>
      </c>
      <c r="B28" s="186">
        <v>30</v>
      </c>
      <c r="C28" s="192">
        <v>9.51</v>
      </c>
      <c r="D28" s="187">
        <v>169.01</v>
      </c>
    </row>
    <row r="29" spans="1:4" x14ac:dyDescent="0.25">
      <c r="A29" s="185" t="s">
        <v>437</v>
      </c>
      <c r="B29" s="186">
        <v>30</v>
      </c>
      <c r="C29" s="192">
        <v>13.24</v>
      </c>
      <c r="D29" s="187">
        <v>245.24</v>
      </c>
    </row>
    <row r="30" spans="1:4" x14ac:dyDescent="0.25">
      <c r="A30" s="185" t="s">
        <v>438</v>
      </c>
      <c r="B30" s="186">
        <v>30</v>
      </c>
      <c r="C30" s="192">
        <v>18.63</v>
      </c>
      <c r="D30" s="187">
        <v>337.63</v>
      </c>
    </row>
    <row r="31" spans="1:4" x14ac:dyDescent="0.25">
      <c r="A31" s="194" t="s">
        <v>443</v>
      </c>
      <c r="B31" s="186">
        <v>10</v>
      </c>
      <c r="C31" s="192">
        <v>69.45</v>
      </c>
      <c r="D31" s="187">
        <v>694.5</v>
      </c>
    </row>
    <row r="32" spans="1:4" x14ac:dyDescent="0.25">
      <c r="A32" s="194"/>
      <c r="B32" s="195"/>
      <c r="C32" s="195"/>
      <c r="D32" s="187">
        <f>SUM(D5:D31)</f>
        <v>42610.17</v>
      </c>
    </row>
    <row r="33" spans="1:4" x14ac:dyDescent="0.25">
      <c r="A33" s="369"/>
      <c r="B33" s="369"/>
      <c r="C33" s="369"/>
      <c r="D33" s="189">
        <f>D32/34</f>
        <v>1253.24</v>
      </c>
    </row>
  </sheetData>
  <mergeCells count="3">
    <mergeCell ref="A33:C33"/>
    <mergeCell ref="A2:D2"/>
    <mergeCell ref="A3:D3"/>
  </mergeCell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view="pageBreakPreview" topLeftCell="A44" zoomScale="60" zoomScaleNormal="115" workbookViewId="0">
      <selection activeCell="D71" sqref="D71"/>
    </sheetView>
  </sheetViews>
  <sheetFormatPr defaultColWidth="9.140625" defaultRowHeight="15" x14ac:dyDescent="0.25"/>
  <cols>
    <col min="1" max="1" width="46.140625" style="90" customWidth="1"/>
    <col min="2" max="2" width="14.7109375" style="90" customWidth="1"/>
    <col min="3" max="3" width="16.42578125" style="90" customWidth="1"/>
    <col min="4" max="4" width="11.85546875" style="90" customWidth="1"/>
    <col min="5" max="5" width="15.7109375" style="90" customWidth="1"/>
    <col min="6" max="6" width="12.5703125" style="90" bestFit="1" customWidth="1"/>
    <col min="7" max="16384" width="9.140625" style="90"/>
  </cols>
  <sheetData>
    <row r="1" spans="1:8" x14ac:dyDescent="0.25">
      <c r="A1" s="88"/>
      <c r="B1" s="88"/>
      <c r="C1" s="88"/>
      <c r="D1" s="89"/>
      <c r="E1" s="89"/>
    </row>
    <row r="2" spans="1:8" x14ac:dyDescent="0.25">
      <c r="A2" s="88"/>
      <c r="B2" s="88"/>
      <c r="C2" s="88"/>
      <c r="D2" s="89"/>
      <c r="E2" s="89"/>
    </row>
    <row r="3" spans="1:8" x14ac:dyDescent="0.25">
      <c r="A3" s="88"/>
      <c r="B3" s="88"/>
      <c r="C3" s="88"/>
      <c r="D3" s="89"/>
      <c r="E3" s="89"/>
    </row>
    <row r="4" spans="1:8" x14ac:dyDescent="0.25">
      <c r="A4" s="88"/>
      <c r="B4" s="88"/>
      <c r="C4" s="88"/>
      <c r="D4" s="89"/>
      <c r="E4" s="89"/>
    </row>
    <row r="5" spans="1:8" x14ac:dyDescent="0.25">
      <c r="A5" s="573" t="s">
        <v>332</v>
      </c>
      <c r="B5" s="573"/>
      <c r="C5" s="573"/>
      <c r="D5" s="573"/>
      <c r="E5" s="573"/>
    </row>
    <row r="6" spans="1:8" ht="16.5" thickBot="1" x14ac:dyDescent="0.3">
      <c r="A6" s="586" t="s">
        <v>318</v>
      </c>
      <c r="B6" s="586"/>
      <c r="C6" s="586"/>
      <c r="D6" s="586"/>
      <c r="E6" s="586"/>
    </row>
    <row r="7" spans="1:8" ht="45" customHeight="1" thickBot="1" x14ac:dyDescent="0.3">
      <c r="A7" s="70" t="s">
        <v>203</v>
      </c>
      <c r="B7" s="70" t="s">
        <v>204</v>
      </c>
      <c r="C7" s="71" t="s">
        <v>205</v>
      </c>
      <c r="D7" s="105" t="s">
        <v>317</v>
      </c>
      <c r="E7" s="106" t="s">
        <v>319</v>
      </c>
      <c r="H7" s="124"/>
    </row>
    <row r="8" spans="1:8" ht="12" customHeight="1" x14ac:dyDescent="0.25">
      <c r="A8" s="72" t="s">
        <v>206</v>
      </c>
      <c r="B8" s="73" t="s">
        <v>207</v>
      </c>
      <c r="C8" s="74">
        <v>5</v>
      </c>
      <c r="D8" s="116">
        <v>11.77</v>
      </c>
      <c r="E8" s="107">
        <f t="shared" ref="E8:E24" si="0">C8*D8</f>
        <v>58.85</v>
      </c>
      <c r="H8" s="125"/>
    </row>
    <row r="9" spans="1:8" ht="12" customHeight="1" x14ac:dyDescent="0.25">
      <c r="A9" s="75" t="s">
        <v>208</v>
      </c>
      <c r="B9" s="76" t="s">
        <v>207</v>
      </c>
      <c r="C9" s="77">
        <v>4</v>
      </c>
      <c r="D9" s="116">
        <v>27.55</v>
      </c>
      <c r="E9" s="108">
        <f t="shared" si="0"/>
        <v>110.2</v>
      </c>
      <c r="H9" s="125"/>
    </row>
    <row r="10" spans="1:8" ht="12" customHeight="1" x14ac:dyDescent="0.25">
      <c r="A10" s="75" t="s">
        <v>209</v>
      </c>
      <c r="B10" s="76" t="s">
        <v>207</v>
      </c>
      <c r="C10" s="77">
        <v>2</v>
      </c>
      <c r="D10" s="116">
        <v>33.57</v>
      </c>
      <c r="E10" s="108">
        <f t="shared" si="0"/>
        <v>67.14</v>
      </c>
      <c r="H10" s="125"/>
    </row>
    <row r="11" spans="1:8" ht="12" customHeight="1" x14ac:dyDescent="0.25">
      <c r="A11" s="75" t="s">
        <v>210</v>
      </c>
      <c r="B11" s="76" t="s">
        <v>211</v>
      </c>
      <c r="C11" s="77">
        <v>10</v>
      </c>
      <c r="D11" s="116">
        <v>7.05</v>
      </c>
      <c r="E11" s="108">
        <f t="shared" si="0"/>
        <v>70.5</v>
      </c>
      <c r="H11" s="125"/>
    </row>
    <row r="12" spans="1:8" ht="12" customHeight="1" x14ac:dyDescent="0.25">
      <c r="A12" s="78" t="s">
        <v>212</v>
      </c>
      <c r="B12" s="76" t="s">
        <v>207</v>
      </c>
      <c r="C12" s="77">
        <v>2</v>
      </c>
      <c r="D12" s="116">
        <v>32.840000000000003</v>
      </c>
      <c r="E12" s="108">
        <f t="shared" si="0"/>
        <v>65.680000000000007</v>
      </c>
      <c r="H12" s="125"/>
    </row>
    <row r="13" spans="1:8" ht="12" customHeight="1" x14ac:dyDescent="0.25">
      <c r="A13" s="79" t="s">
        <v>214</v>
      </c>
      <c r="B13" s="76" t="s">
        <v>207</v>
      </c>
      <c r="C13" s="77">
        <v>4</v>
      </c>
      <c r="D13" s="116">
        <v>13.67</v>
      </c>
      <c r="E13" s="108">
        <f t="shared" si="0"/>
        <v>54.68</v>
      </c>
      <c r="H13" s="125"/>
    </row>
    <row r="14" spans="1:8" ht="12" customHeight="1" x14ac:dyDescent="0.25">
      <c r="A14" s="79" t="s">
        <v>295</v>
      </c>
      <c r="B14" s="76" t="s">
        <v>207</v>
      </c>
      <c r="C14" s="77">
        <v>1</v>
      </c>
      <c r="D14" s="116">
        <v>19.809999999999999</v>
      </c>
      <c r="E14" s="108">
        <f t="shared" si="0"/>
        <v>19.809999999999999</v>
      </c>
      <c r="H14" s="125"/>
    </row>
    <row r="15" spans="1:8" ht="12" customHeight="1" x14ac:dyDescent="0.25">
      <c r="A15" s="79" t="s">
        <v>215</v>
      </c>
      <c r="B15" s="76" t="s">
        <v>216</v>
      </c>
      <c r="C15" s="77">
        <v>2</v>
      </c>
      <c r="D15" s="116">
        <v>1.47</v>
      </c>
      <c r="E15" s="108">
        <f t="shared" si="0"/>
        <v>2.94</v>
      </c>
      <c r="H15" s="125"/>
    </row>
    <row r="16" spans="1:8" ht="12" customHeight="1" x14ac:dyDescent="0.25">
      <c r="A16" s="79" t="s">
        <v>217</v>
      </c>
      <c r="B16" s="76" t="s">
        <v>213</v>
      </c>
      <c r="C16" s="77">
        <v>10</v>
      </c>
      <c r="D16" s="116">
        <v>0.76</v>
      </c>
      <c r="E16" s="108">
        <f t="shared" si="0"/>
        <v>7.6</v>
      </c>
      <c r="H16" s="125"/>
    </row>
    <row r="17" spans="1:8" ht="12" customHeight="1" x14ac:dyDescent="0.25">
      <c r="A17" s="79" t="s">
        <v>218</v>
      </c>
      <c r="B17" s="76" t="s">
        <v>213</v>
      </c>
      <c r="C17" s="77">
        <v>10</v>
      </c>
      <c r="D17" s="116">
        <v>1.04</v>
      </c>
      <c r="E17" s="108">
        <f t="shared" si="0"/>
        <v>10.4</v>
      </c>
      <c r="H17" s="125"/>
    </row>
    <row r="18" spans="1:8" ht="12" customHeight="1" x14ac:dyDescent="0.25">
      <c r="A18" s="79" t="s">
        <v>219</v>
      </c>
      <c r="B18" s="76" t="s">
        <v>213</v>
      </c>
      <c r="C18" s="77">
        <v>2</v>
      </c>
      <c r="D18" s="116">
        <v>2.29</v>
      </c>
      <c r="E18" s="108">
        <f t="shared" si="0"/>
        <v>4.58</v>
      </c>
      <c r="H18" s="125"/>
    </row>
    <row r="19" spans="1:8" ht="12" customHeight="1" x14ac:dyDescent="0.25">
      <c r="A19" s="79" t="s">
        <v>220</v>
      </c>
      <c r="B19" s="76" t="s">
        <v>221</v>
      </c>
      <c r="C19" s="77">
        <v>3</v>
      </c>
      <c r="D19" s="116">
        <v>2.11</v>
      </c>
      <c r="E19" s="108">
        <f t="shared" si="0"/>
        <v>6.33</v>
      </c>
      <c r="H19" s="125"/>
    </row>
    <row r="20" spans="1:8" ht="12" customHeight="1" x14ac:dyDescent="0.25">
      <c r="A20" s="79" t="s">
        <v>222</v>
      </c>
      <c r="B20" s="76" t="s">
        <v>216</v>
      </c>
      <c r="C20" s="77">
        <v>10</v>
      </c>
      <c r="D20" s="116">
        <v>10.11</v>
      </c>
      <c r="E20" s="108">
        <f t="shared" si="0"/>
        <v>101.1</v>
      </c>
      <c r="H20" s="125"/>
    </row>
    <row r="21" spans="1:8" ht="12" customHeight="1" x14ac:dyDescent="0.25">
      <c r="A21" s="79" t="s">
        <v>223</v>
      </c>
      <c r="B21" s="76" t="s">
        <v>216</v>
      </c>
      <c r="C21" s="77">
        <v>10</v>
      </c>
      <c r="D21" s="116">
        <v>3.09</v>
      </c>
      <c r="E21" s="108">
        <f t="shared" si="0"/>
        <v>30.9</v>
      </c>
      <c r="H21" s="125"/>
    </row>
    <row r="22" spans="1:8" ht="12" customHeight="1" x14ac:dyDescent="0.25">
      <c r="A22" s="79" t="s">
        <v>224</v>
      </c>
      <c r="B22" s="76" t="s">
        <v>216</v>
      </c>
      <c r="C22" s="77">
        <v>10</v>
      </c>
      <c r="D22" s="116">
        <v>4.29</v>
      </c>
      <c r="E22" s="108">
        <f t="shared" si="0"/>
        <v>42.9</v>
      </c>
      <c r="H22" s="125"/>
    </row>
    <row r="23" spans="1:8" ht="12" customHeight="1" x14ac:dyDescent="0.25">
      <c r="A23" s="79" t="s">
        <v>225</v>
      </c>
      <c r="B23" s="76" t="s">
        <v>226</v>
      </c>
      <c r="C23" s="77">
        <v>5</v>
      </c>
      <c r="D23" s="116">
        <v>2.2400000000000002</v>
      </c>
      <c r="E23" s="108">
        <f t="shared" si="0"/>
        <v>11.2</v>
      </c>
      <c r="H23" s="125"/>
    </row>
    <row r="24" spans="1:8" ht="12" customHeight="1" x14ac:dyDescent="0.25">
      <c r="A24" s="79" t="s">
        <v>227</v>
      </c>
      <c r="B24" s="76" t="s">
        <v>213</v>
      </c>
      <c r="C24" s="77">
        <v>6</v>
      </c>
      <c r="D24" s="116">
        <v>2.5099999999999998</v>
      </c>
      <c r="E24" s="108">
        <f t="shared" si="0"/>
        <v>15.06</v>
      </c>
      <c r="H24" s="125"/>
    </row>
    <row r="25" spans="1:8" ht="12" customHeight="1" x14ac:dyDescent="0.25">
      <c r="A25" s="79" t="s">
        <v>228</v>
      </c>
      <c r="B25" s="76" t="s">
        <v>142</v>
      </c>
      <c r="C25" s="76" t="s">
        <v>229</v>
      </c>
      <c r="D25" s="116">
        <v>209.33</v>
      </c>
      <c r="E25" s="119">
        <f>D25</f>
        <v>209.33</v>
      </c>
      <c r="H25" s="125"/>
    </row>
    <row r="26" spans="1:8" ht="12" customHeight="1" x14ac:dyDescent="0.25">
      <c r="A26" s="79" t="s">
        <v>230</v>
      </c>
      <c r="B26" s="76" t="s">
        <v>213</v>
      </c>
      <c r="C26" s="77">
        <v>10</v>
      </c>
      <c r="D26" s="116">
        <v>7.75</v>
      </c>
      <c r="E26" s="108" t="s">
        <v>231</v>
      </c>
      <c r="H26" s="125"/>
    </row>
    <row r="27" spans="1:8" ht="12" customHeight="1" x14ac:dyDescent="0.25">
      <c r="A27" s="79" t="s">
        <v>232</v>
      </c>
      <c r="B27" s="76" t="s">
        <v>213</v>
      </c>
      <c r="C27" s="77">
        <v>6</v>
      </c>
      <c r="D27" s="116">
        <v>2.95</v>
      </c>
      <c r="E27" s="108">
        <f>C27*D27</f>
        <v>17.7</v>
      </c>
      <c r="H27" s="125"/>
    </row>
    <row r="28" spans="1:8" ht="12" customHeight="1" x14ac:dyDescent="0.25">
      <c r="A28" s="79" t="s">
        <v>233</v>
      </c>
      <c r="B28" s="76" t="s">
        <v>234</v>
      </c>
      <c r="C28" s="77">
        <v>3</v>
      </c>
      <c r="D28" s="116">
        <v>104.67</v>
      </c>
      <c r="E28" s="108">
        <f>C28*D28</f>
        <v>314.01</v>
      </c>
      <c r="F28" s="126"/>
      <c r="H28" s="125"/>
    </row>
    <row r="29" spans="1:8" ht="12" customHeight="1" x14ac:dyDescent="0.25">
      <c r="A29" s="80" t="s">
        <v>235</v>
      </c>
      <c r="B29" s="76" t="s">
        <v>236</v>
      </c>
      <c r="C29" s="77">
        <v>33</v>
      </c>
      <c r="D29" s="116">
        <v>9.4499999999999993</v>
      </c>
      <c r="E29" s="108">
        <f>C29*D29</f>
        <v>311.85000000000002</v>
      </c>
      <c r="H29" s="125"/>
    </row>
    <row r="30" spans="1:8" ht="12" customHeight="1" x14ac:dyDescent="0.25">
      <c r="A30" s="79" t="s">
        <v>237</v>
      </c>
      <c r="B30" s="76" t="s">
        <v>207</v>
      </c>
      <c r="C30" s="77">
        <v>1</v>
      </c>
      <c r="D30" s="116">
        <v>37.67</v>
      </c>
      <c r="E30" s="108">
        <f>C30*D30</f>
        <v>37.67</v>
      </c>
      <c r="H30" s="125"/>
    </row>
    <row r="31" spans="1:8" ht="12" customHeight="1" x14ac:dyDescent="0.25">
      <c r="A31" s="79" t="s">
        <v>238</v>
      </c>
      <c r="B31" s="76" t="s">
        <v>213</v>
      </c>
      <c r="C31" s="77">
        <v>10</v>
      </c>
      <c r="D31" s="116">
        <v>7.91</v>
      </c>
      <c r="E31" s="108" t="s">
        <v>231</v>
      </c>
      <c r="H31" s="125"/>
    </row>
    <row r="32" spans="1:8" ht="12" customHeight="1" x14ac:dyDescent="0.25">
      <c r="A32" s="79" t="s">
        <v>239</v>
      </c>
      <c r="B32" s="76" t="s">
        <v>207</v>
      </c>
      <c r="C32" s="77">
        <v>1</v>
      </c>
      <c r="D32" s="116">
        <v>22.27</v>
      </c>
      <c r="E32" s="108">
        <f t="shared" ref="E32:E40" si="1">C32*D32</f>
        <v>22.27</v>
      </c>
      <c r="H32" s="125"/>
    </row>
    <row r="33" spans="1:9" ht="12" customHeight="1" x14ac:dyDescent="0.25">
      <c r="A33" s="79" t="s">
        <v>240</v>
      </c>
      <c r="B33" s="76" t="s">
        <v>241</v>
      </c>
      <c r="C33" s="77">
        <v>5</v>
      </c>
      <c r="D33" s="116">
        <v>7.41</v>
      </c>
      <c r="E33" s="108">
        <f t="shared" si="1"/>
        <v>37.049999999999997</v>
      </c>
      <c r="H33" s="125"/>
    </row>
    <row r="34" spans="1:9" ht="12" customHeight="1" x14ac:dyDescent="0.25">
      <c r="A34" s="79" t="s">
        <v>242</v>
      </c>
      <c r="B34" s="76" t="s">
        <v>243</v>
      </c>
      <c r="C34" s="77">
        <v>3</v>
      </c>
      <c r="D34" s="116">
        <v>10.79</v>
      </c>
      <c r="E34" s="108">
        <f t="shared" si="1"/>
        <v>32.369999999999997</v>
      </c>
      <c r="H34" s="125"/>
    </row>
    <row r="35" spans="1:9" ht="12" customHeight="1" x14ac:dyDescent="0.25">
      <c r="A35" s="79" t="s">
        <v>244</v>
      </c>
      <c r="B35" s="76" t="s">
        <v>243</v>
      </c>
      <c r="C35" s="77">
        <v>3</v>
      </c>
      <c r="D35" s="116">
        <v>19.64</v>
      </c>
      <c r="E35" s="108">
        <f t="shared" si="1"/>
        <v>58.92</v>
      </c>
      <c r="H35" s="125"/>
    </row>
    <row r="36" spans="1:9" ht="12" customHeight="1" x14ac:dyDescent="0.25">
      <c r="A36" s="79" t="s">
        <v>245</v>
      </c>
      <c r="B36" s="76" t="s">
        <v>243</v>
      </c>
      <c r="C36" s="77">
        <v>1</v>
      </c>
      <c r="D36" s="116">
        <v>27.93</v>
      </c>
      <c r="E36" s="108">
        <f t="shared" si="1"/>
        <v>27.93</v>
      </c>
      <c r="H36" s="125"/>
    </row>
    <row r="37" spans="1:9" ht="12" customHeight="1" x14ac:dyDescent="0.25">
      <c r="A37" s="79" t="s">
        <v>246</v>
      </c>
      <c r="B37" s="76" t="s">
        <v>243</v>
      </c>
      <c r="C37" s="77">
        <v>1</v>
      </c>
      <c r="D37" s="116">
        <v>25.92</v>
      </c>
      <c r="E37" s="108">
        <f t="shared" si="1"/>
        <v>25.92</v>
      </c>
      <c r="H37" s="125"/>
    </row>
    <row r="38" spans="1:9" ht="12" customHeight="1" x14ac:dyDescent="0.25">
      <c r="A38" s="79" t="s">
        <v>247</v>
      </c>
      <c r="B38" s="76" t="s">
        <v>211</v>
      </c>
      <c r="C38" s="77">
        <v>10</v>
      </c>
      <c r="D38" s="116">
        <v>4.47</v>
      </c>
      <c r="E38" s="108">
        <f t="shared" si="1"/>
        <v>44.7</v>
      </c>
      <c r="H38" s="125"/>
    </row>
    <row r="39" spans="1:9" ht="12" customHeight="1" x14ac:dyDescent="0.25">
      <c r="A39" s="79" t="s">
        <v>248</v>
      </c>
      <c r="B39" s="76" t="s">
        <v>213</v>
      </c>
      <c r="C39" s="77">
        <v>2</v>
      </c>
      <c r="D39" s="116">
        <v>2.65</v>
      </c>
      <c r="E39" s="108">
        <f t="shared" si="1"/>
        <v>5.3</v>
      </c>
      <c r="H39" s="125"/>
    </row>
    <row r="40" spans="1:9" ht="12" customHeight="1" thickBot="1" x14ac:dyDescent="0.3">
      <c r="A40" s="81" t="s">
        <v>293</v>
      </c>
      <c r="B40" s="82" t="s">
        <v>213</v>
      </c>
      <c r="C40" s="83">
        <v>6</v>
      </c>
      <c r="D40" s="116">
        <v>26.23</v>
      </c>
      <c r="E40" s="109">
        <f t="shared" si="1"/>
        <v>157.38</v>
      </c>
      <c r="H40" s="125"/>
    </row>
    <row r="41" spans="1:9" ht="22.5" customHeight="1" thickBot="1" x14ac:dyDescent="0.3">
      <c r="A41" s="577" t="s">
        <v>249</v>
      </c>
      <c r="B41" s="578"/>
      <c r="C41" s="578"/>
      <c r="D41" s="579"/>
      <c r="E41" s="95">
        <f>SUM(E8:E40)</f>
        <v>1982.27</v>
      </c>
    </row>
    <row r="42" spans="1:9" ht="20.25" customHeight="1" thickBot="1" x14ac:dyDescent="0.3">
      <c r="A42" s="580" t="s">
        <v>250</v>
      </c>
      <c r="B42" s="581"/>
      <c r="C42" s="581"/>
      <c r="D42" s="582"/>
      <c r="E42" s="96">
        <f>E41/3.5</f>
        <v>566.36</v>
      </c>
      <c r="F42" s="98"/>
    </row>
    <row r="43" spans="1:9" ht="23.25" customHeight="1" thickBot="1" x14ac:dyDescent="0.3">
      <c r="A43" s="580" t="s">
        <v>251</v>
      </c>
      <c r="B43" s="581"/>
      <c r="C43" s="581"/>
      <c r="D43" s="582"/>
      <c r="E43" s="96">
        <f>E42*20</f>
        <v>11327.2</v>
      </c>
      <c r="H43" s="124"/>
      <c r="I43" s="124"/>
    </row>
    <row r="44" spans="1:9" ht="42" customHeight="1" thickBot="1" x14ac:dyDescent="0.3">
      <c r="A44" s="84" t="s">
        <v>252</v>
      </c>
      <c r="B44" s="85" t="s">
        <v>253</v>
      </c>
      <c r="C44" s="86" t="s">
        <v>254</v>
      </c>
      <c r="D44" s="92" t="s">
        <v>317</v>
      </c>
      <c r="E44" s="93" t="s">
        <v>319</v>
      </c>
      <c r="H44" s="124"/>
      <c r="I44" s="124"/>
    </row>
    <row r="45" spans="1:9" ht="12" customHeight="1" x14ac:dyDescent="0.25">
      <c r="A45" s="87" t="s">
        <v>255</v>
      </c>
      <c r="B45" s="73">
        <v>6</v>
      </c>
      <c r="C45" s="74">
        <v>3</v>
      </c>
      <c r="D45" s="116">
        <v>2.6</v>
      </c>
      <c r="E45" s="107">
        <f>C45*D45/B45</f>
        <v>1.3</v>
      </c>
      <c r="H45" s="124"/>
      <c r="I45" s="125"/>
    </row>
    <row r="46" spans="1:9" ht="12" customHeight="1" x14ac:dyDescent="0.25">
      <c r="A46" s="79" t="s">
        <v>256</v>
      </c>
      <c r="B46" s="76">
        <v>6</v>
      </c>
      <c r="C46" s="77">
        <v>3</v>
      </c>
      <c r="D46" s="116">
        <v>2.48</v>
      </c>
      <c r="E46" s="107">
        <f>C46*D46/B46</f>
        <v>1.24</v>
      </c>
      <c r="H46" s="124"/>
      <c r="I46" s="125"/>
    </row>
    <row r="47" spans="1:9" ht="12" customHeight="1" x14ac:dyDescent="0.25">
      <c r="A47" s="79" t="s">
        <v>257</v>
      </c>
      <c r="B47" s="76">
        <v>6</v>
      </c>
      <c r="C47" s="77">
        <v>3</v>
      </c>
      <c r="D47" s="116">
        <v>22.75</v>
      </c>
      <c r="E47" s="107">
        <f>C47*D47/B47</f>
        <v>11.38</v>
      </c>
      <c r="H47" s="124"/>
      <c r="I47" s="125"/>
    </row>
    <row r="48" spans="1:9" ht="12" customHeight="1" x14ac:dyDescent="0.25">
      <c r="A48" s="79" t="s">
        <v>258</v>
      </c>
      <c r="B48" s="76">
        <v>3</v>
      </c>
      <c r="C48" s="77" t="s">
        <v>259</v>
      </c>
      <c r="D48" s="116">
        <v>1.97</v>
      </c>
      <c r="E48" s="107">
        <v>0</v>
      </c>
      <c r="H48" s="124"/>
      <c r="I48" s="125"/>
    </row>
    <row r="49" spans="1:9" ht="12" customHeight="1" x14ac:dyDescent="0.25">
      <c r="A49" s="79" t="s">
        <v>260</v>
      </c>
      <c r="B49" s="76">
        <v>2</v>
      </c>
      <c r="C49" s="77">
        <v>3</v>
      </c>
      <c r="D49" s="116">
        <v>15.14</v>
      </c>
      <c r="E49" s="107">
        <f t="shared" ref="E49:E62" si="2">C49*D49/B49</f>
        <v>22.71</v>
      </c>
      <c r="H49" s="124"/>
      <c r="I49" s="125"/>
    </row>
    <row r="50" spans="1:9" ht="12" customHeight="1" x14ac:dyDescent="0.25">
      <c r="A50" s="79" t="s">
        <v>261</v>
      </c>
      <c r="B50" s="76">
        <v>12</v>
      </c>
      <c r="C50" s="77">
        <v>1</v>
      </c>
      <c r="D50" s="116">
        <v>438.38</v>
      </c>
      <c r="E50" s="107">
        <f t="shared" si="2"/>
        <v>36.53</v>
      </c>
      <c r="H50" s="124"/>
      <c r="I50" s="125"/>
    </row>
    <row r="51" spans="1:9" ht="12" customHeight="1" x14ac:dyDescent="0.25">
      <c r="A51" s="79" t="s">
        <v>262</v>
      </c>
      <c r="B51" s="76">
        <v>12</v>
      </c>
      <c r="C51" s="77">
        <v>3</v>
      </c>
      <c r="D51" s="116">
        <v>2.27</v>
      </c>
      <c r="E51" s="107">
        <f t="shared" si="2"/>
        <v>0.56999999999999995</v>
      </c>
      <c r="H51" s="124"/>
      <c r="I51" s="125"/>
    </row>
    <row r="52" spans="1:9" ht="12" customHeight="1" x14ac:dyDescent="0.25">
      <c r="A52" s="79" t="s">
        <v>263</v>
      </c>
      <c r="B52" s="76">
        <v>60</v>
      </c>
      <c r="C52" s="77">
        <v>1</v>
      </c>
      <c r="D52" s="116">
        <v>64.510000000000005</v>
      </c>
      <c r="E52" s="107">
        <f t="shared" si="2"/>
        <v>1.08</v>
      </c>
      <c r="H52" s="124"/>
      <c r="I52" s="125"/>
    </row>
    <row r="53" spans="1:9" ht="12" customHeight="1" x14ac:dyDescent="0.25">
      <c r="A53" s="79" t="s">
        <v>264</v>
      </c>
      <c r="B53" s="76">
        <v>6</v>
      </c>
      <c r="C53" s="77">
        <v>3</v>
      </c>
      <c r="D53" s="116">
        <v>2.73</v>
      </c>
      <c r="E53" s="107">
        <f t="shared" si="2"/>
        <v>1.37</v>
      </c>
      <c r="H53" s="124"/>
      <c r="I53" s="125"/>
    </row>
    <row r="54" spans="1:9" ht="12" customHeight="1" x14ac:dyDescent="0.25">
      <c r="A54" s="80" t="s">
        <v>265</v>
      </c>
      <c r="B54" s="76">
        <v>6</v>
      </c>
      <c r="C54" s="77">
        <v>2</v>
      </c>
      <c r="D54" s="116">
        <v>2.14</v>
      </c>
      <c r="E54" s="107">
        <f t="shared" si="2"/>
        <v>0.71</v>
      </c>
      <c r="H54" s="124"/>
      <c r="I54" s="125"/>
    </row>
    <row r="55" spans="1:9" ht="12" customHeight="1" x14ac:dyDescent="0.25">
      <c r="A55" s="79" t="s">
        <v>266</v>
      </c>
      <c r="B55" s="76">
        <v>12</v>
      </c>
      <c r="C55" s="77">
        <v>2</v>
      </c>
      <c r="D55" s="116">
        <v>41.59</v>
      </c>
      <c r="E55" s="107">
        <f t="shared" si="2"/>
        <v>6.93</v>
      </c>
      <c r="H55" s="124"/>
      <c r="I55" s="125"/>
    </row>
    <row r="56" spans="1:9" ht="12" customHeight="1" x14ac:dyDescent="0.25">
      <c r="A56" s="79" t="s">
        <v>267</v>
      </c>
      <c r="B56" s="76">
        <v>24</v>
      </c>
      <c r="C56" s="77">
        <v>1</v>
      </c>
      <c r="D56" s="116">
        <v>38.83</v>
      </c>
      <c r="E56" s="107">
        <f t="shared" si="2"/>
        <v>1.62</v>
      </c>
      <c r="H56" s="124"/>
      <c r="I56" s="125"/>
    </row>
    <row r="57" spans="1:9" ht="12" customHeight="1" x14ac:dyDescent="0.25">
      <c r="A57" s="79" t="s">
        <v>268</v>
      </c>
      <c r="B57" s="76">
        <v>3</v>
      </c>
      <c r="C57" s="77">
        <v>3</v>
      </c>
      <c r="D57" s="116">
        <v>1.44</v>
      </c>
      <c r="E57" s="107">
        <f t="shared" si="2"/>
        <v>1.44</v>
      </c>
      <c r="H57" s="124"/>
      <c r="I57" s="125"/>
    </row>
    <row r="58" spans="1:9" ht="12" customHeight="1" x14ac:dyDescent="0.25">
      <c r="A58" s="79" t="s">
        <v>269</v>
      </c>
      <c r="B58" s="76">
        <v>12</v>
      </c>
      <c r="C58" s="77">
        <v>1</v>
      </c>
      <c r="D58" s="116">
        <v>13.09</v>
      </c>
      <c r="E58" s="107">
        <f t="shared" si="2"/>
        <v>1.0900000000000001</v>
      </c>
      <c r="H58" s="124"/>
      <c r="I58" s="125"/>
    </row>
    <row r="59" spans="1:9" ht="12" customHeight="1" x14ac:dyDescent="0.25">
      <c r="A59" s="79" t="s">
        <v>270</v>
      </c>
      <c r="B59" s="76">
        <v>3</v>
      </c>
      <c r="C59" s="77">
        <v>1</v>
      </c>
      <c r="D59" s="116">
        <v>1.3</v>
      </c>
      <c r="E59" s="107">
        <f t="shared" si="2"/>
        <v>0.43</v>
      </c>
      <c r="H59" s="124"/>
      <c r="I59" s="125"/>
    </row>
    <row r="60" spans="1:9" ht="12" customHeight="1" x14ac:dyDescent="0.25">
      <c r="A60" s="80" t="s">
        <v>271</v>
      </c>
      <c r="B60" s="76">
        <v>6</v>
      </c>
      <c r="C60" s="77">
        <v>3</v>
      </c>
      <c r="D60" s="116">
        <v>8.7899999999999991</v>
      </c>
      <c r="E60" s="107">
        <f t="shared" si="2"/>
        <v>4.4000000000000004</v>
      </c>
      <c r="H60" s="124"/>
      <c r="I60" s="125"/>
    </row>
    <row r="61" spans="1:9" ht="12" customHeight="1" x14ac:dyDescent="0.25">
      <c r="A61" s="79" t="s">
        <v>272</v>
      </c>
      <c r="B61" s="76">
        <v>3</v>
      </c>
      <c r="C61" s="77">
        <v>3</v>
      </c>
      <c r="D61" s="116">
        <v>7.02</v>
      </c>
      <c r="E61" s="107">
        <f t="shared" si="2"/>
        <v>7.02</v>
      </c>
      <c r="H61" s="124"/>
      <c r="I61" s="125"/>
    </row>
    <row r="62" spans="1:9" ht="12" customHeight="1" x14ac:dyDescent="0.25">
      <c r="A62" s="79" t="s">
        <v>273</v>
      </c>
      <c r="B62" s="76">
        <v>6</v>
      </c>
      <c r="C62" s="77">
        <v>0</v>
      </c>
      <c r="D62" s="116">
        <v>11.21</v>
      </c>
      <c r="E62" s="107">
        <f t="shared" si="2"/>
        <v>0</v>
      </c>
      <c r="H62" s="124"/>
      <c r="I62" s="125"/>
    </row>
    <row r="63" spans="1:9" ht="12" customHeight="1" x14ac:dyDescent="0.25">
      <c r="A63" s="79" t="s">
        <v>274</v>
      </c>
      <c r="B63" s="76">
        <v>6</v>
      </c>
      <c r="C63" s="77" t="s">
        <v>275</v>
      </c>
      <c r="D63" s="116">
        <v>14.57</v>
      </c>
      <c r="E63" s="107">
        <v>0</v>
      </c>
      <c r="H63" s="124"/>
      <c r="I63" s="125"/>
    </row>
    <row r="64" spans="1:9" ht="12" customHeight="1" x14ac:dyDescent="0.25">
      <c r="A64" s="79" t="s">
        <v>276</v>
      </c>
      <c r="B64" s="76" t="s">
        <v>277</v>
      </c>
      <c r="C64" s="76" t="s">
        <v>229</v>
      </c>
      <c r="D64" s="116">
        <v>112.5</v>
      </c>
      <c r="E64" s="118">
        <f>D64</f>
        <v>112.5</v>
      </c>
      <c r="H64" s="124"/>
      <c r="I64" s="125"/>
    </row>
    <row r="65" spans="1:9" ht="12" customHeight="1" x14ac:dyDescent="0.25">
      <c r="A65" s="79" t="s">
        <v>278</v>
      </c>
      <c r="B65" s="76">
        <v>2</v>
      </c>
      <c r="C65" s="77">
        <v>3</v>
      </c>
      <c r="D65" s="116">
        <v>2.87</v>
      </c>
      <c r="E65" s="107">
        <f>C65*D65/B65</f>
        <v>4.3099999999999996</v>
      </c>
      <c r="H65" s="124"/>
      <c r="I65" s="125"/>
    </row>
    <row r="66" spans="1:9" ht="12" customHeight="1" x14ac:dyDescent="0.25">
      <c r="A66" s="80" t="s">
        <v>279</v>
      </c>
      <c r="B66" s="76">
        <v>2</v>
      </c>
      <c r="C66" s="77">
        <v>1</v>
      </c>
      <c r="D66" s="116">
        <v>3.66</v>
      </c>
      <c r="E66" s="107">
        <f>C66*D66/B66</f>
        <v>1.83</v>
      </c>
      <c r="H66" s="124"/>
      <c r="I66" s="125"/>
    </row>
    <row r="67" spans="1:9" ht="12" customHeight="1" thickBot="1" x14ac:dyDescent="0.3">
      <c r="A67" s="81" t="s">
        <v>280</v>
      </c>
      <c r="B67" s="82">
        <v>6</v>
      </c>
      <c r="C67" s="83">
        <v>1</v>
      </c>
      <c r="D67" s="116">
        <v>11.27</v>
      </c>
      <c r="E67" s="107">
        <f>C67*D67/B67</f>
        <v>1.88</v>
      </c>
      <c r="H67" s="124"/>
      <c r="I67" s="125"/>
    </row>
    <row r="68" spans="1:9" ht="15.75" customHeight="1" thickBot="1" x14ac:dyDescent="0.3">
      <c r="A68" s="577" t="s">
        <v>281</v>
      </c>
      <c r="B68" s="578"/>
      <c r="C68" s="578"/>
      <c r="D68" s="579"/>
      <c r="E68" s="91">
        <f>SUM(E45:E67)</f>
        <v>220.34</v>
      </c>
      <c r="H68" s="124"/>
      <c r="I68" s="124"/>
    </row>
    <row r="69" spans="1:9" ht="41.25" customHeight="1" thickBot="1" x14ac:dyDescent="0.3">
      <c r="A69" s="70" t="s">
        <v>282</v>
      </c>
      <c r="B69" s="70" t="s">
        <v>253</v>
      </c>
      <c r="C69" s="71" t="s">
        <v>254</v>
      </c>
      <c r="D69" s="71" t="s">
        <v>317</v>
      </c>
      <c r="E69" s="70" t="s">
        <v>319</v>
      </c>
      <c r="H69" s="124"/>
      <c r="I69" s="124"/>
    </row>
    <row r="70" spans="1:9" ht="12" customHeight="1" x14ac:dyDescent="0.25">
      <c r="A70" s="72" t="s">
        <v>283</v>
      </c>
      <c r="B70" s="73">
        <v>36</v>
      </c>
      <c r="C70" s="74">
        <v>1</v>
      </c>
      <c r="D70" s="116">
        <v>400</v>
      </c>
      <c r="E70" s="107">
        <f>C70*D70/B70</f>
        <v>11.11</v>
      </c>
    </row>
    <row r="71" spans="1:9" ht="12" customHeight="1" x14ac:dyDescent="0.25">
      <c r="A71" s="75" t="s">
        <v>284</v>
      </c>
      <c r="B71" s="76">
        <v>12</v>
      </c>
      <c r="C71" s="77">
        <v>1</v>
      </c>
      <c r="D71" s="116">
        <v>200</v>
      </c>
      <c r="E71" s="107">
        <f>C71*D71/B71</f>
        <v>16.670000000000002</v>
      </c>
    </row>
    <row r="72" spans="1:9" ht="12" customHeight="1" thickBot="1" x14ac:dyDescent="0.3">
      <c r="A72" s="75" t="s">
        <v>285</v>
      </c>
      <c r="B72" s="76">
        <v>36</v>
      </c>
      <c r="C72" s="77">
        <v>1</v>
      </c>
      <c r="D72" s="116">
        <v>200</v>
      </c>
      <c r="E72" s="107">
        <f>C72*D72/B72</f>
        <v>5.56</v>
      </c>
    </row>
    <row r="73" spans="1:9" ht="12" customHeight="1" thickBot="1" x14ac:dyDescent="0.3">
      <c r="A73" s="583" t="s">
        <v>286</v>
      </c>
      <c r="B73" s="584"/>
      <c r="C73" s="584"/>
      <c r="D73" s="585"/>
      <c r="E73" s="95">
        <f>SUM(E70:E72)</f>
        <v>33.340000000000003</v>
      </c>
    </row>
    <row r="74" spans="1:9" ht="34.15" customHeight="1" thickBot="1" x14ac:dyDescent="0.3">
      <c r="A74" s="580" t="s">
        <v>287</v>
      </c>
      <c r="B74" s="581"/>
      <c r="C74" s="581"/>
      <c r="D74" s="582"/>
      <c r="E74" s="123">
        <f>(E68+E73)/3.5</f>
        <v>72.48</v>
      </c>
    </row>
    <row r="75" spans="1:9" ht="31.5" customHeight="1" thickBot="1" x14ac:dyDescent="0.3">
      <c r="A75" s="580" t="s">
        <v>288</v>
      </c>
      <c r="B75" s="581"/>
      <c r="C75" s="581"/>
      <c r="D75" s="582"/>
      <c r="E75" s="94">
        <f>E74*20</f>
        <v>1449.6</v>
      </c>
    </row>
    <row r="76" spans="1:9" ht="26.25" customHeight="1" thickBot="1" x14ac:dyDescent="0.3">
      <c r="A76" s="574" t="s">
        <v>289</v>
      </c>
      <c r="B76" s="575"/>
      <c r="C76" s="575"/>
      <c r="D76" s="576"/>
      <c r="E76" s="110">
        <f>E43+E75</f>
        <v>12776.8</v>
      </c>
    </row>
  </sheetData>
  <mergeCells count="10">
    <mergeCell ref="A5:E5"/>
    <mergeCell ref="A76:D76"/>
    <mergeCell ref="A41:D41"/>
    <mergeCell ref="A42:D42"/>
    <mergeCell ref="A43:D43"/>
    <mergeCell ref="A68:D68"/>
    <mergeCell ref="A73:D73"/>
    <mergeCell ref="A74:D74"/>
    <mergeCell ref="A75:D75"/>
    <mergeCell ref="A6:E6"/>
  </mergeCells>
  <pageMargins left="0.51181102362204722" right="0.51181102362204722" top="0.78740157480314965" bottom="0.78740157480314965" header="0.31496062992125984" footer="0.31496062992125984"/>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H23"/>
  <sheetViews>
    <sheetView view="pageBreakPreview" zoomScale="130" zoomScaleNormal="100" zoomScaleSheetLayoutView="130" workbookViewId="0">
      <selection activeCell="F19" sqref="F19"/>
    </sheetView>
  </sheetViews>
  <sheetFormatPr defaultRowHeight="15" x14ac:dyDescent="0.25"/>
  <cols>
    <col min="2" max="3" width="0.140625" customWidth="1"/>
    <col min="4" max="8" width="18.7109375" customWidth="1"/>
  </cols>
  <sheetData>
    <row r="2" spans="4:8" x14ac:dyDescent="0.25">
      <c r="D2" s="571" t="s">
        <v>320</v>
      </c>
      <c r="E2" s="587"/>
      <c r="F2" s="587"/>
      <c r="G2" s="587"/>
      <c r="H2" s="587"/>
    </row>
    <row r="3" spans="4:8" x14ac:dyDescent="0.25">
      <c r="D3" s="571" t="s">
        <v>322</v>
      </c>
      <c r="E3" s="571"/>
      <c r="F3" s="571"/>
      <c r="G3" s="571"/>
      <c r="H3" s="571"/>
    </row>
    <row r="5" spans="4:8" x14ac:dyDescent="0.25">
      <c r="D5" s="589" t="s">
        <v>181</v>
      </c>
      <c r="E5" s="590" t="s">
        <v>189</v>
      </c>
      <c r="F5" s="590" t="s">
        <v>152</v>
      </c>
      <c r="G5" s="590" t="s">
        <v>290</v>
      </c>
      <c r="H5" s="590" t="s">
        <v>190</v>
      </c>
    </row>
    <row r="6" spans="4:8" x14ac:dyDescent="0.25">
      <c r="D6" s="589"/>
      <c r="E6" s="591"/>
      <c r="F6" s="591"/>
      <c r="G6" s="591"/>
      <c r="H6" s="591"/>
    </row>
    <row r="7" spans="4:8" ht="30" customHeight="1" x14ac:dyDescent="0.25">
      <c r="D7" s="60" t="s">
        <v>186</v>
      </c>
      <c r="E7" s="130">
        <v>1891.29</v>
      </c>
      <c r="F7" s="62">
        <v>1200</v>
      </c>
      <c r="G7" s="97">
        <v>1.6659999999999999E-3</v>
      </c>
      <c r="H7" s="64">
        <f>E7*G7</f>
        <v>3.1509999999999998</v>
      </c>
    </row>
    <row r="8" spans="4:8" ht="30" customHeight="1" x14ac:dyDescent="0.25">
      <c r="D8" s="60" t="s">
        <v>187</v>
      </c>
      <c r="E8" s="62">
        <v>209</v>
      </c>
      <c r="F8" s="62">
        <v>1800</v>
      </c>
      <c r="G8" s="97">
        <v>8.3299999999999997E-4</v>
      </c>
      <c r="H8" s="64">
        <f>E8*G8</f>
        <v>0.17399999999999999</v>
      </c>
    </row>
    <row r="9" spans="4:8" ht="30" customHeight="1" x14ac:dyDescent="0.25">
      <c r="D9" s="60" t="s">
        <v>188</v>
      </c>
      <c r="E9" s="62">
        <v>473</v>
      </c>
      <c r="F9" s="62">
        <v>380</v>
      </c>
      <c r="G9" s="97">
        <v>3.8000000000000002E-4</v>
      </c>
      <c r="H9" s="64">
        <f>E9*G9</f>
        <v>0.18</v>
      </c>
    </row>
    <row r="10" spans="4:8" x14ac:dyDescent="0.25">
      <c r="E10" s="120">
        <f>SUM(E7:E9)</f>
        <v>2573</v>
      </c>
      <c r="F10" s="113" t="s">
        <v>137</v>
      </c>
      <c r="G10" s="114">
        <f>SUM(G7:G9)</f>
        <v>0</v>
      </c>
      <c r="H10" s="115">
        <f>SUM(H7:H9)</f>
        <v>3.51</v>
      </c>
    </row>
    <row r="12" spans="4:8" x14ac:dyDescent="0.25">
      <c r="D12" s="588" t="s">
        <v>194</v>
      </c>
      <c r="E12" s="588"/>
      <c r="F12" s="588"/>
      <c r="G12" s="588"/>
      <c r="H12" s="588"/>
    </row>
    <row r="20" spans="4:5" x14ac:dyDescent="0.25">
      <c r="D20" s="99"/>
      <c r="E20" s="99"/>
    </row>
    <row r="23" spans="4:5" x14ac:dyDescent="0.25">
      <c r="D23" s="99"/>
      <c r="E23" s="99"/>
    </row>
  </sheetData>
  <mergeCells count="8">
    <mergeCell ref="D2:H2"/>
    <mergeCell ref="D3:H3"/>
    <mergeCell ref="D12:H12"/>
    <mergeCell ref="D5:D6"/>
    <mergeCell ref="E5:E6"/>
    <mergeCell ref="F5:F6"/>
    <mergeCell ref="H5:H6"/>
    <mergeCell ref="G5:G6"/>
  </mergeCells>
  <pageMargins left="0.51181102362204722" right="0.51181102362204722" top="0.78740157480314965" bottom="0.78740157480314965" header="0.31496062992125984" footer="0.31496062992125984"/>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L46"/>
  <sheetViews>
    <sheetView showGridLines="0" topLeftCell="A13" zoomScaleNormal="100" zoomScaleSheetLayoutView="85" workbookViewId="0">
      <selection activeCell="A23" sqref="A23:C23"/>
    </sheetView>
  </sheetViews>
  <sheetFormatPr defaultColWidth="19.85546875" defaultRowHeight="15" x14ac:dyDescent="0.25"/>
  <cols>
    <col min="1" max="1" width="26.28515625" style="20" customWidth="1"/>
    <col min="3" max="3" width="22.7109375" customWidth="1"/>
    <col min="4" max="4" width="27.7109375" bestFit="1" customWidth="1"/>
  </cols>
  <sheetData>
    <row r="1" spans="1:12" x14ac:dyDescent="0.25">
      <c r="A1" s="565" t="s">
        <v>320</v>
      </c>
      <c r="B1" s="565"/>
      <c r="C1" s="565"/>
      <c r="D1" s="565"/>
    </row>
    <row r="2" spans="1:12" ht="15.75" x14ac:dyDescent="0.25">
      <c r="A2" s="566" t="s">
        <v>323</v>
      </c>
      <c r="B2" s="566"/>
      <c r="C2" s="566"/>
      <c r="D2" s="566"/>
      <c r="E2" s="35"/>
      <c r="F2" s="35"/>
      <c r="G2" s="35"/>
    </row>
    <row r="3" spans="1:12" ht="15.75" x14ac:dyDescent="0.25">
      <c r="A3" s="618" t="s">
        <v>146</v>
      </c>
      <c r="B3" s="619"/>
      <c r="C3" s="619"/>
      <c r="D3" s="620"/>
      <c r="E3" s="35"/>
      <c r="F3" s="35"/>
      <c r="G3" s="35"/>
    </row>
    <row r="4" spans="1:12" s="50" customFormat="1" x14ac:dyDescent="0.25">
      <c r="A4" s="51"/>
      <c r="B4" s="51"/>
      <c r="C4" s="51"/>
      <c r="D4" s="51"/>
      <c r="E4" s="49"/>
      <c r="F4" s="49"/>
      <c r="G4" s="49"/>
    </row>
    <row r="5" spans="1:12" ht="20.25" customHeight="1" x14ac:dyDescent="0.25">
      <c r="A5" s="621" t="s">
        <v>147</v>
      </c>
      <c r="B5" s="622"/>
      <c r="C5" s="622"/>
      <c r="D5" s="623"/>
      <c r="E5" s="35"/>
      <c r="F5" s="633" t="s">
        <v>177</v>
      </c>
      <c r="G5" s="633"/>
      <c r="H5" s="633"/>
      <c r="I5" s="633"/>
      <c r="J5" s="57"/>
      <c r="K5" s="57"/>
      <c r="L5" s="57"/>
    </row>
    <row r="6" spans="1:12" x14ac:dyDescent="0.25">
      <c r="A6" s="40"/>
      <c r="B6" s="41" t="s">
        <v>148</v>
      </c>
      <c r="C6" s="41" t="s">
        <v>149</v>
      </c>
      <c r="D6" s="42" t="s">
        <v>150</v>
      </c>
      <c r="E6" s="35"/>
      <c r="F6" s="633"/>
      <c r="G6" s="633"/>
      <c r="H6" s="633"/>
      <c r="I6" s="633"/>
    </row>
    <row r="7" spans="1:12" x14ac:dyDescent="0.25">
      <c r="A7" s="43" t="s">
        <v>151</v>
      </c>
      <c r="B7" s="44" t="s">
        <v>191</v>
      </c>
      <c r="C7" s="44" t="s">
        <v>153</v>
      </c>
      <c r="D7" s="44" t="s">
        <v>154</v>
      </c>
      <c r="E7" s="35"/>
      <c r="F7" s="633" t="s">
        <v>178</v>
      </c>
      <c r="G7" s="633"/>
      <c r="H7" s="633"/>
      <c r="I7" s="633"/>
    </row>
    <row r="8" spans="1:12" x14ac:dyDescent="0.25">
      <c r="A8" s="46"/>
      <c r="B8" s="44" t="s">
        <v>155</v>
      </c>
      <c r="C8" s="44" t="s">
        <v>156</v>
      </c>
      <c r="D8" s="44" t="s">
        <v>157</v>
      </c>
      <c r="E8" s="35"/>
      <c r="F8" s="633"/>
      <c r="G8" s="633"/>
      <c r="H8" s="633"/>
      <c r="I8" s="633"/>
    </row>
    <row r="9" spans="1:12" x14ac:dyDescent="0.25">
      <c r="A9" s="624" t="s">
        <v>158</v>
      </c>
      <c r="B9" s="47" t="s">
        <v>159</v>
      </c>
      <c r="C9" s="626">
        <v>0</v>
      </c>
      <c r="D9" s="605">
        <f>ROUND((1/(30*B12))*C9,2)</f>
        <v>0</v>
      </c>
      <c r="E9" s="35"/>
      <c r="F9" s="633" t="s">
        <v>179</v>
      </c>
      <c r="G9" s="633"/>
      <c r="H9" s="633"/>
      <c r="I9" s="633"/>
      <c r="J9" s="57"/>
      <c r="K9" s="57"/>
      <c r="L9" s="57"/>
    </row>
    <row r="10" spans="1:12" x14ac:dyDescent="0.25">
      <c r="A10" s="625"/>
      <c r="B10" s="48" t="s">
        <v>193</v>
      </c>
      <c r="C10" s="627"/>
      <c r="D10" s="606"/>
      <c r="E10" s="35"/>
      <c r="F10" s="633"/>
      <c r="G10" s="633"/>
      <c r="H10" s="633"/>
      <c r="I10" s="633"/>
      <c r="J10" s="57"/>
      <c r="K10" s="57"/>
      <c r="L10" s="57"/>
    </row>
    <row r="11" spans="1:12" x14ac:dyDescent="0.25">
      <c r="A11" s="628" t="s">
        <v>160</v>
      </c>
      <c r="B11" s="39" t="s">
        <v>161</v>
      </c>
      <c r="C11" s="630" t="e">
        <f>#REF!</f>
        <v>#REF!</v>
      </c>
      <c r="D11" s="630" t="e">
        <f>ROUND((1/B12)*C11,2)</f>
        <v>#REF!</v>
      </c>
      <c r="E11" s="35"/>
      <c r="F11" s="35"/>
      <c r="G11" s="35"/>
    </row>
    <row r="12" spans="1:12" x14ac:dyDescent="0.25">
      <c r="A12" s="629"/>
      <c r="B12" s="38">
        <f>Pessoal!F7</f>
        <v>1200</v>
      </c>
      <c r="C12" s="629"/>
      <c r="D12" s="629"/>
      <c r="E12" s="35"/>
      <c r="F12" s="35"/>
      <c r="G12" s="35"/>
    </row>
    <row r="13" spans="1:12" x14ac:dyDescent="0.25">
      <c r="A13" s="631" t="s">
        <v>137</v>
      </c>
      <c r="B13" s="631"/>
      <c r="C13" s="631"/>
      <c r="D13" s="45" t="e">
        <f>SUM(D11,D9)</f>
        <v>#REF!</v>
      </c>
      <c r="E13" s="35"/>
    </row>
    <row r="14" spans="1:12" x14ac:dyDescent="0.25">
      <c r="A14" s="37"/>
      <c r="B14" s="35"/>
      <c r="C14" s="35"/>
      <c r="D14" s="35"/>
      <c r="E14" s="35"/>
    </row>
    <row r="15" spans="1:12" ht="21.75" customHeight="1" x14ac:dyDescent="0.25">
      <c r="A15" s="611" t="s">
        <v>162</v>
      </c>
      <c r="B15" s="612"/>
      <c r="C15" s="612"/>
      <c r="D15" s="613"/>
      <c r="E15" s="35"/>
    </row>
    <row r="16" spans="1:12" x14ac:dyDescent="0.25">
      <c r="A16" s="52"/>
      <c r="B16" s="53" t="s">
        <v>148</v>
      </c>
      <c r="C16" s="53" t="s">
        <v>149</v>
      </c>
      <c r="D16" s="44" t="s">
        <v>150</v>
      </c>
      <c r="E16" s="35"/>
    </row>
    <row r="17" spans="1:12" x14ac:dyDescent="0.25">
      <c r="A17" s="44" t="s">
        <v>151</v>
      </c>
      <c r="B17" s="44" t="s">
        <v>191</v>
      </c>
      <c r="C17" s="44" t="s">
        <v>153</v>
      </c>
      <c r="D17" s="44" t="s">
        <v>154</v>
      </c>
      <c r="E17" s="35"/>
      <c r="F17" s="57"/>
      <c r="G17" s="57"/>
      <c r="H17" s="57"/>
      <c r="I17" s="57"/>
      <c r="J17" s="57"/>
      <c r="K17" s="57"/>
      <c r="L17" s="57"/>
    </row>
    <row r="18" spans="1:12" ht="21" customHeight="1" x14ac:dyDescent="0.25">
      <c r="A18" s="46"/>
      <c r="B18" s="44" t="s">
        <v>155</v>
      </c>
      <c r="C18" s="44" t="s">
        <v>156</v>
      </c>
      <c r="D18" s="44" t="s">
        <v>157</v>
      </c>
      <c r="E18" s="35"/>
      <c r="F18" s="57"/>
      <c r="G18" s="632" t="s">
        <v>330</v>
      </c>
      <c r="H18" s="632"/>
      <c r="I18" s="57"/>
      <c r="J18" s="57"/>
      <c r="K18" s="57"/>
      <c r="L18" s="57"/>
    </row>
    <row r="19" spans="1:12" x14ac:dyDescent="0.25">
      <c r="A19" s="601" t="s">
        <v>158</v>
      </c>
      <c r="B19" s="47" t="s">
        <v>163</v>
      </c>
      <c r="C19" s="603">
        <f>C9</f>
        <v>0</v>
      </c>
      <c r="D19" s="605">
        <f>ROUND((1/(30*B22))*C19,2)</f>
        <v>0</v>
      </c>
      <c r="E19" s="35"/>
      <c r="F19" s="121" t="s">
        <v>195</v>
      </c>
      <c r="G19" s="122">
        <v>6.05</v>
      </c>
      <c r="H19" s="122">
        <v>7.28</v>
      </c>
    </row>
    <row r="20" spans="1:12" x14ac:dyDescent="0.25">
      <c r="A20" s="602"/>
      <c r="B20" s="48" t="s">
        <v>192</v>
      </c>
      <c r="C20" s="604"/>
      <c r="D20" s="606"/>
      <c r="E20" s="35"/>
      <c r="F20" s="121" t="s">
        <v>196</v>
      </c>
      <c r="G20" s="122">
        <v>3.02</v>
      </c>
      <c r="H20" s="122">
        <v>3.64</v>
      </c>
    </row>
    <row r="21" spans="1:12" x14ac:dyDescent="0.25">
      <c r="A21" s="601" t="s">
        <v>160</v>
      </c>
      <c r="B21" s="47" t="s">
        <v>161</v>
      </c>
      <c r="C21" s="603" t="e">
        <f>#REF!</f>
        <v>#REF!</v>
      </c>
      <c r="D21" s="605" t="e">
        <f>ROUND((1/B22)*C21,2)</f>
        <v>#REF!</v>
      </c>
      <c r="E21" s="35"/>
      <c r="F21" s="121" t="s">
        <v>200</v>
      </c>
      <c r="G21" s="122">
        <v>1.4</v>
      </c>
      <c r="H21" s="122">
        <v>1.68</v>
      </c>
    </row>
    <row r="22" spans="1:12" x14ac:dyDescent="0.25">
      <c r="A22" s="602"/>
      <c r="B22" s="48">
        <f>Pessoal!F8</f>
        <v>1800</v>
      </c>
      <c r="C22" s="604"/>
      <c r="D22" s="606"/>
      <c r="E22" s="35"/>
    </row>
    <row r="23" spans="1:12" x14ac:dyDescent="0.25">
      <c r="A23" s="607" t="s">
        <v>137</v>
      </c>
      <c r="B23" s="607"/>
      <c r="C23" s="607"/>
      <c r="D23" s="54" t="e">
        <f>ROUND(SUM(D21,D19),2)</f>
        <v>#REF!</v>
      </c>
      <c r="E23" s="35"/>
    </row>
    <row r="24" spans="1:12" x14ac:dyDescent="0.25">
      <c r="A24" s="37"/>
      <c r="B24" s="35"/>
      <c r="C24" s="35"/>
      <c r="D24" s="35"/>
      <c r="E24" s="35"/>
      <c r="F24" s="35"/>
      <c r="G24" s="35"/>
    </row>
    <row r="25" spans="1:12" x14ac:dyDescent="0.25">
      <c r="A25" s="611" t="s">
        <v>164</v>
      </c>
      <c r="B25" s="612"/>
      <c r="C25" s="612"/>
      <c r="D25" s="612"/>
      <c r="E25" s="612"/>
      <c r="F25" s="612"/>
      <c r="G25" s="613"/>
    </row>
    <row r="26" spans="1:12" x14ac:dyDescent="0.25">
      <c r="A26" s="46"/>
      <c r="B26" s="53" t="s">
        <v>148</v>
      </c>
      <c r="C26" s="53" t="s">
        <v>149</v>
      </c>
      <c r="D26" s="53" t="s">
        <v>165</v>
      </c>
      <c r="E26" s="53" t="s">
        <v>166</v>
      </c>
      <c r="F26" s="53" t="s">
        <v>167</v>
      </c>
      <c r="G26" s="44" t="s">
        <v>168</v>
      </c>
    </row>
    <row r="27" spans="1:12" ht="30" x14ac:dyDescent="0.25">
      <c r="A27" s="44" t="s">
        <v>151</v>
      </c>
      <c r="B27" s="44" t="s">
        <v>191</v>
      </c>
      <c r="C27" s="44" t="s">
        <v>169</v>
      </c>
      <c r="D27" s="44" t="s">
        <v>170</v>
      </c>
      <c r="E27" s="44" t="s">
        <v>171</v>
      </c>
      <c r="F27" s="44" t="s">
        <v>172</v>
      </c>
      <c r="G27" s="44" t="s">
        <v>173</v>
      </c>
    </row>
    <row r="28" spans="1:12" x14ac:dyDescent="0.25">
      <c r="A28" s="52"/>
      <c r="B28" s="44" t="s">
        <v>155</v>
      </c>
      <c r="C28" s="55"/>
      <c r="D28" s="55"/>
      <c r="E28" s="56" t="s">
        <v>174</v>
      </c>
      <c r="F28" s="56" t="s">
        <v>156</v>
      </c>
      <c r="G28" s="44" t="s">
        <v>157</v>
      </c>
    </row>
    <row r="29" spans="1:12" x14ac:dyDescent="0.25">
      <c r="A29" s="601" t="s">
        <v>160</v>
      </c>
      <c r="B29" s="47" t="s">
        <v>175</v>
      </c>
      <c r="C29" s="608" t="s">
        <v>176</v>
      </c>
      <c r="D29" s="47" t="s">
        <v>161</v>
      </c>
      <c r="E29" s="616">
        <f>(1/220)*(16)*(1/191.4)</f>
        <v>3.8000000000000002E-4</v>
      </c>
      <c r="F29" s="603" t="e">
        <f>C11</f>
        <v>#REF!</v>
      </c>
      <c r="G29" s="614" t="e">
        <f>ROUND(+F29*E29,2)</f>
        <v>#REF!</v>
      </c>
    </row>
    <row r="30" spans="1:12" x14ac:dyDescent="0.25">
      <c r="A30" s="602"/>
      <c r="B30" s="48">
        <v>220</v>
      </c>
      <c r="C30" s="609"/>
      <c r="D30" s="48">
        <v>191.4</v>
      </c>
      <c r="E30" s="617"/>
      <c r="F30" s="604"/>
      <c r="G30" s="615"/>
    </row>
    <row r="31" spans="1:12" x14ac:dyDescent="0.25">
      <c r="A31" s="601" t="s">
        <v>158</v>
      </c>
      <c r="B31" s="68" t="s">
        <v>175</v>
      </c>
      <c r="C31" s="608" t="s">
        <v>176</v>
      </c>
      <c r="D31" s="68" t="s">
        <v>161</v>
      </c>
      <c r="E31" s="616">
        <f>(1/6600)*(16)*(1/191.4)</f>
        <v>1.27E-5</v>
      </c>
      <c r="F31" s="603">
        <f>C9</f>
        <v>0</v>
      </c>
      <c r="G31" s="614">
        <f>ROUND(+F31*E31,2)</f>
        <v>0</v>
      </c>
    </row>
    <row r="32" spans="1:12" x14ac:dyDescent="0.25">
      <c r="A32" s="602"/>
      <c r="B32" s="69" t="s">
        <v>292</v>
      </c>
      <c r="C32" s="609"/>
      <c r="D32" s="69">
        <v>191.4</v>
      </c>
      <c r="E32" s="617"/>
      <c r="F32" s="604"/>
      <c r="G32" s="615"/>
    </row>
    <row r="33" spans="1:11" x14ac:dyDescent="0.25">
      <c r="A33" s="595" t="s">
        <v>137</v>
      </c>
      <c r="B33" s="596"/>
      <c r="C33" s="596"/>
      <c r="D33" s="596"/>
      <c r="E33" s="596"/>
      <c r="F33" s="597"/>
      <c r="G33" s="635" t="e">
        <f>SUM(G29:G32)</f>
        <v>#REF!</v>
      </c>
    </row>
    <row r="34" spans="1:11" x14ac:dyDescent="0.25">
      <c r="A34" s="598"/>
      <c r="B34" s="599"/>
      <c r="C34" s="599"/>
      <c r="D34" s="599"/>
      <c r="E34" s="599"/>
      <c r="F34" s="600"/>
      <c r="G34" s="636"/>
    </row>
    <row r="35" spans="1:11" ht="15.75" customHeight="1" x14ac:dyDescent="0.25">
      <c r="A35" s="36"/>
      <c r="B35" s="35"/>
      <c r="C35" s="35"/>
      <c r="D35" s="35"/>
      <c r="E35" s="35"/>
      <c r="F35" s="35"/>
      <c r="G35" s="35"/>
    </row>
    <row r="36" spans="1:11" x14ac:dyDescent="0.25">
      <c r="A36" s="37"/>
      <c r="B36" s="35"/>
      <c r="C36" s="35"/>
      <c r="D36" s="35"/>
      <c r="E36" s="35"/>
      <c r="F36" s="35"/>
      <c r="G36" s="35"/>
    </row>
    <row r="37" spans="1:11" x14ac:dyDescent="0.25">
      <c r="A37" s="634" t="s">
        <v>180</v>
      </c>
      <c r="B37" s="634"/>
      <c r="C37" s="634"/>
      <c r="D37" s="634"/>
      <c r="E37" s="35"/>
      <c r="F37" s="35"/>
      <c r="G37" s="35"/>
    </row>
    <row r="38" spans="1:11" x14ac:dyDescent="0.25">
      <c r="A38" s="634"/>
      <c r="B38" s="634"/>
      <c r="C38" s="634"/>
      <c r="D38" s="634"/>
    </row>
    <row r="39" spans="1:11" ht="30" x14ac:dyDescent="0.25">
      <c r="A39" s="589" t="s">
        <v>181</v>
      </c>
      <c r="B39" s="58" t="s">
        <v>182</v>
      </c>
      <c r="C39" s="58" t="s">
        <v>183</v>
      </c>
      <c r="D39" s="58" t="s">
        <v>154</v>
      </c>
    </row>
    <row r="40" spans="1:11" x14ac:dyDescent="0.25">
      <c r="A40" s="589"/>
      <c r="B40" s="59" t="s">
        <v>184</v>
      </c>
      <c r="C40" s="59" t="s">
        <v>185</v>
      </c>
      <c r="D40" s="59" t="s">
        <v>156</v>
      </c>
    </row>
    <row r="41" spans="1:11" x14ac:dyDescent="0.25">
      <c r="A41" s="60" t="s">
        <v>186</v>
      </c>
      <c r="B41" s="61" t="e">
        <f>+D13</f>
        <v>#REF!</v>
      </c>
      <c r="C41" s="129">
        <v>1891.29</v>
      </c>
      <c r="D41" s="61" t="e">
        <f>+C41*B41</f>
        <v>#REF!</v>
      </c>
      <c r="G41" s="63"/>
    </row>
    <row r="42" spans="1:11" x14ac:dyDescent="0.25">
      <c r="A42" s="60" t="s">
        <v>187</v>
      </c>
      <c r="B42" s="61" t="e">
        <f>+D23</f>
        <v>#REF!</v>
      </c>
      <c r="C42" s="129">
        <v>209</v>
      </c>
      <c r="D42" s="61" t="e">
        <f>+C42*B42</f>
        <v>#REF!</v>
      </c>
      <c r="G42" s="63"/>
    </row>
    <row r="43" spans="1:11" x14ac:dyDescent="0.25">
      <c r="A43" s="60" t="s">
        <v>188</v>
      </c>
      <c r="B43" s="61" t="e">
        <f>+G33</f>
        <v>#REF!</v>
      </c>
      <c r="C43" s="62">
        <v>473</v>
      </c>
      <c r="D43" s="61" t="e">
        <f>+C43*B43</f>
        <v>#REF!</v>
      </c>
      <c r="G43" s="63"/>
      <c r="H43" s="65"/>
    </row>
    <row r="44" spans="1:11" ht="15.75" x14ac:dyDescent="0.25">
      <c r="A44" s="610" t="s">
        <v>319</v>
      </c>
      <c r="B44" s="610"/>
      <c r="C44" s="610"/>
      <c r="D44" s="100" t="e">
        <f>SUM(D41:D43)</f>
        <v>#REF!</v>
      </c>
      <c r="G44" s="63"/>
    </row>
    <row r="45" spans="1:11" ht="15.75" x14ac:dyDescent="0.25">
      <c r="A45" s="592" t="s">
        <v>329</v>
      </c>
      <c r="B45" s="593"/>
      <c r="C45" s="594"/>
      <c r="D45" s="100" t="e">
        <f>D44*20</f>
        <v>#REF!</v>
      </c>
      <c r="G45" s="63"/>
      <c r="H45" s="67"/>
      <c r="I45" s="66"/>
      <c r="J45" s="67"/>
      <c r="K45" s="66"/>
    </row>
    <row r="46" spans="1:11" x14ac:dyDescent="0.25">
      <c r="G46" s="66"/>
    </row>
  </sheetData>
  <mergeCells count="40">
    <mergeCell ref="G18:H18"/>
    <mergeCell ref="F5:I6"/>
    <mergeCell ref="F7:I8"/>
    <mergeCell ref="F9:I10"/>
    <mergeCell ref="A37:D38"/>
    <mergeCell ref="G33:G34"/>
    <mergeCell ref="E29:E30"/>
    <mergeCell ref="F29:F30"/>
    <mergeCell ref="A39:A40"/>
    <mergeCell ref="A19:A20"/>
    <mergeCell ref="C19:C20"/>
    <mergeCell ref="D19:D20"/>
    <mergeCell ref="A11:A12"/>
    <mergeCell ref="C11:C12"/>
    <mergeCell ref="D11:D12"/>
    <mergeCell ref="A13:C13"/>
    <mergeCell ref="A15:D15"/>
    <mergeCell ref="A1:D1"/>
    <mergeCell ref="A2:D2"/>
    <mergeCell ref="A3:D3"/>
    <mergeCell ref="A5:D5"/>
    <mergeCell ref="A9:A10"/>
    <mergeCell ref="C9:C10"/>
    <mergeCell ref="D9:D10"/>
    <mergeCell ref="A45:C45"/>
    <mergeCell ref="A33:F34"/>
    <mergeCell ref="A21:A22"/>
    <mergeCell ref="C21:C22"/>
    <mergeCell ref="D21:D22"/>
    <mergeCell ref="A23:C23"/>
    <mergeCell ref="A29:A30"/>
    <mergeCell ref="C29:C30"/>
    <mergeCell ref="A44:C44"/>
    <mergeCell ref="A25:G25"/>
    <mergeCell ref="G29:G30"/>
    <mergeCell ref="A31:A32"/>
    <mergeCell ref="C31:C32"/>
    <mergeCell ref="E31:E32"/>
    <mergeCell ref="F31:F32"/>
    <mergeCell ref="G31:G32"/>
  </mergeCells>
  <printOptions horizontalCentered="1" verticalCentered="1"/>
  <pageMargins left="0.23622047244094491" right="0.23622047244094491" top="0.74803149606299213" bottom="0.74803149606299213" header="0.31496062992125984" footer="0.31496062992125984"/>
  <pageSetup paperSize="9" scale="73"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workbookViewId="0">
      <selection activeCell="K17" sqref="K17"/>
    </sheetView>
  </sheetViews>
  <sheetFormatPr defaultRowHeight="15" x14ac:dyDescent="0.25"/>
  <cols>
    <col min="2" max="2" width="37.140625" customWidth="1"/>
  </cols>
  <sheetData>
    <row r="1" spans="2:18" ht="23.25" x14ac:dyDescent="0.25">
      <c r="B1" s="637" t="s">
        <v>296</v>
      </c>
      <c r="C1" s="638"/>
      <c r="D1" s="638"/>
      <c r="E1" s="638"/>
      <c r="F1" s="638"/>
      <c r="G1" s="638"/>
      <c r="H1" s="638"/>
      <c r="I1" s="638"/>
      <c r="J1" s="638"/>
      <c r="K1" s="638"/>
      <c r="L1" s="638"/>
      <c r="M1" s="638"/>
      <c r="N1" s="638"/>
      <c r="O1" s="638"/>
      <c r="P1" s="638"/>
      <c r="Q1" s="638"/>
      <c r="R1" s="639"/>
    </row>
    <row r="3" spans="2:18" x14ac:dyDescent="0.25">
      <c r="B3" s="640" t="s">
        <v>297</v>
      </c>
      <c r="C3" s="640"/>
      <c r="D3" s="640"/>
      <c r="E3" s="640"/>
      <c r="F3" s="640"/>
      <c r="G3" s="640"/>
      <c r="H3" s="640"/>
      <c r="I3" s="640"/>
      <c r="J3" s="640"/>
      <c r="K3" s="640"/>
      <c r="L3" s="640"/>
      <c r="M3" s="640"/>
      <c r="N3" s="640"/>
      <c r="O3" s="640"/>
      <c r="P3" s="640"/>
      <c r="Q3" s="640"/>
      <c r="R3" s="640"/>
    </row>
    <row r="4" spans="2:18" x14ac:dyDescent="0.25">
      <c r="B4" s="101"/>
      <c r="C4" s="101"/>
      <c r="D4" s="101"/>
      <c r="E4" s="101"/>
      <c r="F4" s="101"/>
      <c r="G4" s="101"/>
      <c r="H4" s="101"/>
      <c r="I4" s="101"/>
      <c r="J4" s="101"/>
      <c r="K4" s="101"/>
      <c r="L4" s="101"/>
      <c r="M4" s="101"/>
      <c r="N4" s="101"/>
      <c r="O4" s="101"/>
      <c r="P4" s="101"/>
      <c r="Q4" s="101"/>
      <c r="R4" s="101"/>
    </row>
    <row r="5" spans="2:18" x14ac:dyDescent="0.25">
      <c r="B5" s="102" t="s">
        <v>298</v>
      </c>
      <c r="C5" s="641" t="s">
        <v>299</v>
      </c>
      <c r="D5" s="641"/>
      <c r="E5" s="641"/>
      <c r="F5" s="641"/>
      <c r="G5" s="641"/>
      <c r="H5" s="641"/>
      <c r="I5" s="641"/>
      <c r="J5" s="641"/>
      <c r="K5" s="641"/>
      <c r="L5" s="641"/>
      <c r="M5" s="641"/>
      <c r="N5" s="641"/>
      <c r="O5" s="641"/>
      <c r="P5" s="641"/>
      <c r="Q5" s="641"/>
      <c r="R5" s="641"/>
    </row>
    <row r="6" spans="2:18" x14ac:dyDescent="0.25">
      <c r="B6" s="103" t="s">
        <v>300</v>
      </c>
      <c r="C6" s="642" t="s">
        <v>301</v>
      </c>
      <c r="D6" s="642"/>
      <c r="E6" s="642"/>
      <c r="F6" s="642"/>
      <c r="G6" s="642"/>
      <c r="H6" s="643" t="s">
        <v>302</v>
      </c>
      <c r="I6" s="643"/>
      <c r="J6" s="643"/>
      <c r="K6" s="643"/>
      <c r="L6" s="643"/>
      <c r="M6" s="644" t="s">
        <v>301</v>
      </c>
      <c r="N6" s="644"/>
      <c r="O6" s="644"/>
      <c r="P6" s="644"/>
      <c r="Q6" s="644"/>
      <c r="R6" s="644"/>
    </row>
    <row r="7" spans="2:18" x14ac:dyDescent="0.25">
      <c r="B7" s="103" t="s">
        <v>303</v>
      </c>
      <c r="C7" s="642" t="s">
        <v>301</v>
      </c>
      <c r="D7" s="642"/>
      <c r="E7" s="642"/>
      <c r="F7" s="642"/>
      <c r="G7" s="642"/>
      <c r="H7" s="643" t="s">
        <v>304</v>
      </c>
      <c r="I7" s="643"/>
      <c r="J7" s="643"/>
      <c r="K7" s="643"/>
      <c r="L7" s="643"/>
      <c r="M7" s="644" t="s">
        <v>301</v>
      </c>
      <c r="N7" s="644"/>
      <c r="O7" s="644"/>
      <c r="P7" s="644"/>
      <c r="Q7" s="644"/>
      <c r="R7" s="644"/>
    </row>
    <row r="8" spans="2:18" ht="38.25" x14ac:dyDescent="0.25">
      <c r="B8" s="103" t="s">
        <v>305</v>
      </c>
      <c r="C8" s="642" t="s">
        <v>301</v>
      </c>
      <c r="D8" s="642"/>
      <c r="E8" s="642"/>
      <c r="F8" s="642"/>
      <c r="G8" s="642"/>
      <c r="H8" s="643" t="s">
        <v>306</v>
      </c>
      <c r="I8" s="643"/>
      <c r="J8" s="643"/>
      <c r="K8" s="643"/>
      <c r="L8" s="643"/>
      <c r="M8" s="644" t="s">
        <v>301</v>
      </c>
      <c r="N8" s="644"/>
      <c r="O8" s="644"/>
      <c r="P8" s="644"/>
      <c r="Q8" s="644"/>
      <c r="R8" s="644"/>
    </row>
    <row r="9" spans="2:18" x14ac:dyDescent="0.25">
      <c r="B9" s="103" t="s">
        <v>81</v>
      </c>
      <c r="C9" s="642" t="s">
        <v>301</v>
      </c>
      <c r="D9" s="642"/>
      <c r="E9" s="642"/>
      <c r="F9" s="642"/>
      <c r="G9" s="642"/>
      <c r="H9" s="643" t="s">
        <v>307</v>
      </c>
      <c r="I9" s="643"/>
      <c r="J9" s="643"/>
      <c r="K9" s="643"/>
      <c r="L9" s="643"/>
      <c r="M9" s="644" t="s">
        <v>301</v>
      </c>
      <c r="N9" s="644"/>
      <c r="O9" s="644"/>
      <c r="P9" s="644"/>
      <c r="Q9" s="644"/>
      <c r="R9" s="644"/>
    </row>
    <row r="10" spans="2:18" ht="38.25" x14ac:dyDescent="0.25">
      <c r="B10" s="103" t="s">
        <v>308</v>
      </c>
      <c r="C10" s="643" t="s">
        <v>309</v>
      </c>
      <c r="D10" s="643"/>
      <c r="E10" s="643"/>
      <c r="F10" s="643"/>
      <c r="G10" s="643"/>
      <c r="H10" s="643" t="s">
        <v>310</v>
      </c>
      <c r="I10" s="643"/>
      <c r="J10" s="643"/>
      <c r="K10" s="643"/>
      <c r="L10" s="643"/>
      <c r="M10" s="643" t="s">
        <v>311</v>
      </c>
      <c r="N10" s="643"/>
      <c r="O10" s="643"/>
      <c r="P10" s="643"/>
      <c r="Q10" s="643"/>
      <c r="R10" s="643"/>
    </row>
    <row r="11" spans="2:18" x14ac:dyDescent="0.25">
      <c r="B11" s="103" t="s">
        <v>137</v>
      </c>
      <c r="C11" s="643" t="s">
        <v>312</v>
      </c>
      <c r="D11" s="643"/>
      <c r="E11" s="643"/>
      <c r="F11" s="643"/>
      <c r="G11" s="643"/>
      <c r="H11" s="643" t="s">
        <v>313</v>
      </c>
      <c r="I11" s="643"/>
      <c r="J11" s="643"/>
      <c r="K11" s="643"/>
      <c r="L11" s="643"/>
      <c r="M11" s="643" t="s">
        <v>314</v>
      </c>
      <c r="N11" s="643"/>
      <c r="O11" s="643"/>
      <c r="P11" s="643"/>
      <c r="Q11" s="643"/>
      <c r="R11" s="643"/>
    </row>
    <row r="12" spans="2:18" x14ac:dyDescent="0.25">
      <c r="B12" s="645" t="s">
        <v>315</v>
      </c>
      <c r="C12" s="645"/>
      <c r="D12" s="645"/>
      <c r="E12" s="645"/>
      <c r="F12" s="645"/>
      <c r="G12" s="645"/>
      <c r="H12" s="645"/>
      <c r="I12" s="645"/>
      <c r="J12" s="645"/>
      <c r="K12" s="645"/>
      <c r="L12" s="645"/>
      <c r="M12" s="645"/>
      <c r="N12" s="645"/>
      <c r="O12" s="645"/>
      <c r="P12" s="645"/>
      <c r="Q12" s="645"/>
      <c r="R12" s="645"/>
    </row>
    <row r="13" spans="2:18" x14ac:dyDescent="0.25">
      <c r="B13" s="645"/>
      <c r="C13" s="645"/>
      <c r="D13" s="645"/>
      <c r="E13" s="645"/>
      <c r="F13" s="645"/>
      <c r="G13" s="645"/>
      <c r="H13" s="645"/>
      <c r="I13" s="645"/>
      <c r="J13" s="645"/>
      <c r="K13" s="645"/>
      <c r="L13" s="645"/>
      <c r="M13" s="645"/>
      <c r="N13" s="645"/>
      <c r="O13" s="645"/>
      <c r="P13" s="645"/>
      <c r="Q13" s="645"/>
      <c r="R13" s="645"/>
    </row>
  </sheetData>
  <mergeCells count="22">
    <mergeCell ref="C11:G11"/>
    <mergeCell ref="H11:L11"/>
    <mergeCell ref="M11:R11"/>
    <mergeCell ref="B12:R13"/>
    <mergeCell ref="C9:G9"/>
    <mergeCell ref="H9:L9"/>
    <mergeCell ref="M9:R9"/>
    <mergeCell ref="C10:G10"/>
    <mergeCell ref="H10:L10"/>
    <mergeCell ref="M10:R10"/>
    <mergeCell ref="C7:G7"/>
    <mergeCell ref="H7:L7"/>
    <mergeCell ref="M7:R7"/>
    <mergeCell ref="C8:G8"/>
    <mergeCell ref="H8:L8"/>
    <mergeCell ref="M8:R8"/>
    <mergeCell ref="B1:R1"/>
    <mergeCell ref="B3:R3"/>
    <mergeCell ref="C5:R5"/>
    <mergeCell ref="C6:G6"/>
    <mergeCell ref="H6:L6"/>
    <mergeCell ref="M6:R6"/>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R152"/>
  <sheetViews>
    <sheetView topLeftCell="A34" zoomScale="90" zoomScaleNormal="90" zoomScalePageLayoutView="80" workbookViewId="0">
      <selection activeCell="K47" sqref="K47"/>
    </sheetView>
  </sheetViews>
  <sheetFormatPr defaultColWidth="9.140625" defaultRowHeight="18.75" x14ac:dyDescent="0.25"/>
  <cols>
    <col min="1" max="1" width="1.7109375" style="1" customWidth="1"/>
    <col min="2" max="2" width="21.140625" style="166" customWidth="1"/>
    <col min="3" max="5" width="21.140625" style="167" customWidth="1"/>
    <col min="6" max="9" width="21.140625" style="166" customWidth="1"/>
    <col min="10" max="10" width="21.140625" style="168" customWidth="1"/>
    <col min="11" max="11" width="24.140625" style="217" customWidth="1"/>
    <col min="12" max="12" width="9.140625" style="226"/>
    <col min="13" max="13" width="11.7109375" style="226" bestFit="1" customWidth="1"/>
    <col min="14" max="14" width="11.42578125" style="226" bestFit="1" customWidth="1"/>
    <col min="15" max="18" width="9.140625" style="226"/>
    <col min="19" max="16384" width="9.140625" style="1"/>
  </cols>
  <sheetData>
    <row r="1" spans="2:18" x14ac:dyDescent="0.25">
      <c r="B1" s="405" t="s">
        <v>336</v>
      </c>
      <c r="C1" s="405"/>
      <c r="D1" s="405"/>
      <c r="E1" s="405"/>
      <c r="F1" s="405"/>
      <c r="G1" s="405"/>
      <c r="H1" s="405"/>
      <c r="I1" s="405"/>
      <c r="J1" s="405"/>
    </row>
    <row r="2" spans="2:18" x14ac:dyDescent="0.25">
      <c r="B2" s="496" t="s">
        <v>324</v>
      </c>
      <c r="C2" s="496"/>
      <c r="D2" s="496"/>
      <c r="E2" s="496"/>
      <c r="F2" s="496"/>
      <c r="G2" s="496"/>
      <c r="H2" s="496"/>
      <c r="I2" s="496"/>
      <c r="J2" s="496"/>
    </row>
    <row r="3" spans="2:18" x14ac:dyDescent="0.25">
      <c r="B3" s="397" t="s">
        <v>0</v>
      </c>
      <c r="C3" s="397"/>
      <c r="D3" s="452"/>
      <c r="E3" s="453"/>
      <c r="F3" s="453"/>
      <c r="G3" s="453"/>
      <c r="H3" s="453"/>
      <c r="I3" s="453"/>
      <c r="J3" s="455"/>
    </row>
    <row r="4" spans="2:18" x14ac:dyDescent="0.25">
      <c r="B4" s="397" t="s">
        <v>1</v>
      </c>
      <c r="C4" s="397"/>
      <c r="D4" s="497">
        <v>43525</v>
      </c>
      <c r="E4" s="453"/>
      <c r="F4" s="453"/>
      <c r="G4" s="453"/>
      <c r="H4" s="453"/>
      <c r="I4" s="453"/>
      <c r="J4" s="455"/>
    </row>
    <row r="5" spans="2:18" x14ac:dyDescent="0.25">
      <c r="B5" s="491" t="s">
        <v>2</v>
      </c>
      <c r="C5" s="491"/>
      <c r="D5" s="491"/>
      <c r="E5" s="491"/>
      <c r="F5" s="491"/>
      <c r="G5" s="491"/>
      <c r="H5" s="491"/>
      <c r="I5" s="491"/>
      <c r="J5" s="492"/>
    </row>
    <row r="6" spans="2:18" ht="21" customHeight="1" x14ac:dyDescent="0.25">
      <c r="B6" s="232" t="s">
        <v>3</v>
      </c>
      <c r="C6" s="403" t="s">
        <v>4</v>
      </c>
      <c r="D6" s="403"/>
      <c r="E6" s="403"/>
      <c r="F6" s="403"/>
      <c r="G6" s="403"/>
      <c r="H6" s="403"/>
      <c r="I6" s="403"/>
      <c r="J6" s="131"/>
    </row>
    <row r="7" spans="2:18" ht="37.5" x14ac:dyDescent="0.25">
      <c r="B7" s="232" t="s">
        <v>5</v>
      </c>
      <c r="C7" s="403" t="s">
        <v>354</v>
      </c>
      <c r="D7" s="403"/>
      <c r="E7" s="403"/>
      <c r="F7" s="403"/>
      <c r="G7" s="403"/>
      <c r="H7" s="403"/>
      <c r="I7" s="403"/>
      <c r="J7" s="132" t="s">
        <v>500</v>
      </c>
    </row>
    <row r="8" spans="2:18" ht="23.25" customHeight="1" x14ac:dyDescent="0.25">
      <c r="B8" s="232" t="s">
        <v>6</v>
      </c>
      <c r="C8" s="403" t="s">
        <v>7</v>
      </c>
      <c r="D8" s="403"/>
      <c r="E8" s="403"/>
      <c r="F8" s="403"/>
      <c r="G8" s="403"/>
      <c r="H8" s="403"/>
      <c r="I8" s="403"/>
      <c r="J8" s="133">
        <v>2018</v>
      </c>
    </row>
    <row r="9" spans="2:18" ht="23.25" customHeight="1" x14ac:dyDescent="0.25">
      <c r="B9" s="232" t="s">
        <v>8</v>
      </c>
      <c r="C9" s="403" t="s">
        <v>9</v>
      </c>
      <c r="D9" s="403"/>
      <c r="E9" s="403"/>
      <c r="F9" s="403"/>
      <c r="G9" s="403"/>
      <c r="H9" s="403"/>
      <c r="I9" s="403"/>
      <c r="J9" s="134">
        <v>12</v>
      </c>
    </row>
    <row r="10" spans="2:18" ht="22.5" customHeight="1" x14ac:dyDescent="0.25">
      <c r="B10" s="232" t="s">
        <v>10</v>
      </c>
      <c r="C10" s="493" t="s">
        <v>11</v>
      </c>
      <c r="D10" s="494"/>
      <c r="E10" s="494"/>
      <c r="F10" s="494"/>
      <c r="G10" s="494"/>
      <c r="H10" s="494"/>
      <c r="I10" s="495"/>
      <c r="J10" s="135" t="s">
        <v>445</v>
      </c>
    </row>
    <row r="11" spans="2:18" ht="33.75" x14ac:dyDescent="0.25">
      <c r="B11" s="232" t="s">
        <v>12</v>
      </c>
      <c r="C11" s="493" t="s">
        <v>13</v>
      </c>
      <c r="D11" s="494"/>
      <c r="E11" s="494"/>
      <c r="F11" s="494"/>
      <c r="G11" s="494"/>
      <c r="H11" s="494"/>
      <c r="I11" s="495"/>
      <c r="J11" s="136" t="s">
        <v>363</v>
      </c>
      <c r="K11" s="2" t="s">
        <v>325</v>
      </c>
    </row>
    <row r="12" spans="2:18" x14ac:dyDescent="0.25">
      <c r="B12" s="407" t="s">
        <v>14</v>
      </c>
      <c r="C12" s="407"/>
      <c r="D12" s="407"/>
      <c r="E12" s="407"/>
      <c r="F12" s="407"/>
      <c r="G12" s="407"/>
      <c r="H12" s="407"/>
      <c r="I12" s="407"/>
      <c r="J12" s="407"/>
    </row>
    <row r="13" spans="2:18" s="4" customFormat="1" ht="33.75" customHeight="1" x14ac:dyDescent="0.25">
      <c r="B13" s="408" t="s">
        <v>15</v>
      </c>
      <c r="C13" s="408"/>
      <c r="D13" s="408"/>
      <c r="E13" s="408"/>
      <c r="F13" s="408"/>
      <c r="G13" s="400" t="s">
        <v>16</v>
      </c>
      <c r="H13" s="402"/>
      <c r="I13" s="408" t="s">
        <v>17</v>
      </c>
      <c r="J13" s="408"/>
      <c r="K13" s="2"/>
      <c r="L13" s="3"/>
      <c r="M13" s="3"/>
      <c r="N13" s="3"/>
      <c r="O13" s="3"/>
      <c r="P13" s="3"/>
      <c r="Q13" s="3"/>
      <c r="R13" s="3"/>
    </row>
    <row r="14" spans="2:18" ht="18.75" customHeight="1" x14ac:dyDescent="0.25">
      <c r="B14" s="487" t="s">
        <v>446</v>
      </c>
      <c r="C14" s="487"/>
      <c r="D14" s="487"/>
      <c r="E14" s="487"/>
      <c r="F14" s="487"/>
      <c r="G14" s="488" t="s">
        <v>142</v>
      </c>
      <c r="H14" s="489"/>
      <c r="I14" s="490">
        <v>1</v>
      </c>
      <c r="J14" s="490"/>
    </row>
    <row r="15" spans="2:18" x14ac:dyDescent="0.25">
      <c r="B15" s="399" t="s">
        <v>18</v>
      </c>
      <c r="C15" s="399"/>
      <c r="D15" s="399"/>
      <c r="E15" s="399"/>
      <c r="F15" s="399"/>
      <c r="G15" s="399"/>
      <c r="H15" s="399"/>
      <c r="I15" s="399"/>
      <c r="J15" s="399"/>
      <c r="K15" s="226"/>
    </row>
    <row r="16" spans="2:18" x14ac:dyDescent="0.25">
      <c r="B16" s="467" t="s">
        <v>19</v>
      </c>
      <c r="C16" s="468"/>
      <c r="D16" s="468"/>
      <c r="E16" s="468"/>
      <c r="F16" s="468"/>
      <c r="G16" s="468"/>
      <c r="H16" s="468"/>
      <c r="I16" s="468"/>
      <c r="J16" s="469"/>
      <c r="K16" s="226"/>
    </row>
    <row r="17" spans="2:18" ht="21.75" customHeight="1" x14ac:dyDescent="0.25">
      <c r="B17" s="137">
        <v>1</v>
      </c>
      <c r="C17" s="480" t="s">
        <v>20</v>
      </c>
      <c r="D17" s="481"/>
      <c r="E17" s="481"/>
      <c r="F17" s="481"/>
      <c r="G17" s="481"/>
      <c r="H17" s="482"/>
      <c r="I17" s="483" t="s">
        <v>141</v>
      </c>
      <c r="J17" s="483"/>
      <c r="K17" s="226"/>
    </row>
    <row r="18" spans="2:18" x14ac:dyDescent="0.25">
      <c r="B18" s="137">
        <v>2</v>
      </c>
      <c r="C18" s="480" t="s">
        <v>291</v>
      </c>
      <c r="D18" s="481"/>
      <c r="E18" s="481"/>
      <c r="F18" s="481"/>
      <c r="G18" s="231"/>
      <c r="H18" s="231"/>
      <c r="I18" s="486">
        <v>1047.9000000000001</v>
      </c>
      <c r="J18" s="486"/>
      <c r="K18" s="226"/>
      <c r="L18" s="1"/>
      <c r="M18" s="1"/>
      <c r="N18" s="1"/>
      <c r="O18" s="1"/>
      <c r="P18" s="1"/>
      <c r="Q18" s="1"/>
      <c r="R18" s="1"/>
    </row>
    <row r="19" spans="2:18" x14ac:dyDescent="0.25">
      <c r="B19" s="137">
        <v>3</v>
      </c>
      <c r="C19" s="480" t="s">
        <v>316</v>
      </c>
      <c r="D19" s="481"/>
      <c r="E19" s="481"/>
      <c r="F19" s="481"/>
      <c r="G19" s="481"/>
      <c r="H19" s="482"/>
      <c r="I19" s="483" t="str">
        <f>B14</f>
        <v>Servente de Limpeza</v>
      </c>
      <c r="J19" s="483"/>
      <c r="K19" s="226"/>
      <c r="L19" s="1"/>
      <c r="M19" s="1"/>
      <c r="N19" s="1"/>
      <c r="O19" s="1"/>
      <c r="P19" s="1"/>
      <c r="Q19" s="1"/>
      <c r="R19" s="1"/>
    </row>
    <row r="20" spans="2:18" x14ac:dyDescent="0.25">
      <c r="B20" s="137">
        <v>4</v>
      </c>
      <c r="C20" s="480" t="s">
        <v>21</v>
      </c>
      <c r="D20" s="481"/>
      <c r="E20" s="481"/>
      <c r="F20" s="481"/>
      <c r="G20" s="231"/>
      <c r="H20" s="231"/>
      <c r="I20" s="484">
        <v>43101</v>
      </c>
      <c r="J20" s="485"/>
      <c r="K20" s="226"/>
      <c r="L20" s="1"/>
      <c r="M20" s="1"/>
      <c r="N20" s="1"/>
      <c r="O20" s="1"/>
      <c r="P20" s="1"/>
      <c r="Q20" s="1"/>
      <c r="R20" s="1"/>
    </row>
    <row r="21" spans="2:18" x14ac:dyDescent="0.25">
      <c r="B21" s="399" t="s">
        <v>22</v>
      </c>
      <c r="C21" s="399"/>
      <c r="D21" s="399"/>
      <c r="E21" s="399"/>
      <c r="F21" s="399"/>
      <c r="G21" s="399"/>
      <c r="H21" s="399"/>
      <c r="I21" s="399"/>
      <c r="J21" s="399"/>
      <c r="K21" s="226"/>
      <c r="L21" s="1"/>
      <c r="M21" s="1"/>
      <c r="N21" s="1"/>
      <c r="O21" s="1"/>
      <c r="P21" s="1"/>
      <c r="Q21" s="1"/>
      <c r="R21" s="1"/>
    </row>
    <row r="22" spans="2:18" x14ac:dyDescent="0.25">
      <c r="B22" s="229">
        <v>1</v>
      </c>
      <c r="C22" s="398" t="s">
        <v>23</v>
      </c>
      <c r="D22" s="398"/>
      <c r="E22" s="398"/>
      <c r="F22" s="398"/>
      <c r="G22" s="398"/>
      <c r="H22" s="398"/>
      <c r="I22" s="398"/>
      <c r="J22" s="138" t="s">
        <v>24</v>
      </c>
      <c r="K22" s="226"/>
      <c r="L22" s="1"/>
      <c r="M22" s="1"/>
      <c r="N22" s="1"/>
      <c r="O22" s="1"/>
      <c r="P22" s="1"/>
      <c r="Q22" s="1"/>
      <c r="R22" s="1"/>
    </row>
    <row r="23" spans="2:18" x14ac:dyDescent="0.25">
      <c r="B23" s="137" t="s">
        <v>3</v>
      </c>
      <c r="C23" s="464" t="s">
        <v>25</v>
      </c>
      <c r="D23" s="465"/>
      <c r="E23" s="227"/>
      <c r="F23" s="227"/>
      <c r="G23" s="227"/>
      <c r="H23" s="227"/>
      <c r="I23" s="228"/>
      <c r="J23" s="139">
        <f>+I18</f>
        <v>1047.9000000000001</v>
      </c>
      <c r="K23" s="226"/>
      <c r="L23" s="1"/>
      <c r="M23" s="1"/>
      <c r="N23" s="1"/>
      <c r="O23" s="1"/>
      <c r="P23" s="1"/>
      <c r="Q23" s="1"/>
      <c r="R23" s="1"/>
    </row>
    <row r="24" spans="2:18" x14ac:dyDescent="0.25">
      <c r="B24" s="137" t="s">
        <v>5</v>
      </c>
      <c r="C24" s="452" t="s">
        <v>334</v>
      </c>
      <c r="D24" s="453"/>
      <c r="E24" s="224"/>
      <c r="F24" s="224"/>
      <c r="G24" s="224"/>
      <c r="H24" s="224"/>
      <c r="I24" s="225"/>
      <c r="J24" s="139">
        <v>40.39</v>
      </c>
      <c r="K24" s="226"/>
      <c r="L24" s="1"/>
      <c r="M24" s="1"/>
      <c r="N24" s="1"/>
      <c r="O24" s="1"/>
      <c r="P24" s="1"/>
      <c r="Q24" s="1"/>
      <c r="R24" s="1"/>
    </row>
    <row r="25" spans="2:18" x14ac:dyDescent="0.25">
      <c r="B25" s="137" t="s">
        <v>6</v>
      </c>
      <c r="C25" s="223" t="s">
        <v>333</v>
      </c>
      <c r="D25" s="224"/>
      <c r="E25" s="224"/>
      <c r="F25" s="224"/>
      <c r="G25" s="224"/>
      <c r="H25" s="224"/>
      <c r="I25" s="225"/>
      <c r="J25" s="139">
        <f>J23*0.2</f>
        <v>209.58</v>
      </c>
      <c r="K25" s="104"/>
      <c r="L25" s="1"/>
      <c r="M25" s="1"/>
      <c r="N25" s="1"/>
      <c r="O25" s="1"/>
      <c r="P25" s="1"/>
      <c r="Q25" s="1"/>
      <c r="R25" s="1"/>
    </row>
    <row r="26" spans="2:18" x14ac:dyDescent="0.25">
      <c r="B26" s="137" t="s">
        <v>27</v>
      </c>
      <c r="C26" s="452" t="s">
        <v>28</v>
      </c>
      <c r="D26" s="453"/>
      <c r="E26" s="224"/>
      <c r="F26" s="224"/>
      <c r="G26" s="224"/>
      <c r="H26" s="224"/>
      <c r="I26" s="225"/>
      <c r="J26" s="140">
        <v>0</v>
      </c>
      <c r="L26" s="1"/>
      <c r="M26" s="1"/>
      <c r="N26" s="1"/>
      <c r="O26" s="1"/>
      <c r="P26" s="1"/>
      <c r="Q26" s="1"/>
      <c r="R26" s="1"/>
    </row>
    <row r="27" spans="2:18" x14ac:dyDescent="0.25">
      <c r="B27" s="229"/>
      <c r="C27" s="467" t="s">
        <v>29</v>
      </c>
      <c r="D27" s="468"/>
      <c r="E27" s="468"/>
      <c r="F27" s="468"/>
      <c r="G27" s="468"/>
      <c r="H27" s="468"/>
      <c r="I27" s="469"/>
      <c r="J27" s="141">
        <f>SUM(J23:J26)</f>
        <v>1297.8699999999999</v>
      </c>
      <c r="L27" s="1"/>
      <c r="M27" s="1"/>
      <c r="N27" s="1"/>
      <c r="O27" s="1"/>
      <c r="P27" s="1"/>
      <c r="Q27" s="1"/>
      <c r="R27" s="1"/>
    </row>
    <row r="28" spans="2:18" x14ac:dyDescent="0.25">
      <c r="B28" s="399" t="s">
        <v>30</v>
      </c>
      <c r="C28" s="399"/>
      <c r="D28" s="399"/>
      <c r="E28" s="399"/>
      <c r="F28" s="399"/>
      <c r="G28" s="399"/>
      <c r="H28" s="399"/>
      <c r="I28" s="399"/>
      <c r="J28" s="399"/>
      <c r="L28" s="1"/>
      <c r="M28" s="1"/>
      <c r="N28" s="1"/>
      <c r="O28" s="1"/>
      <c r="P28" s="1"/>
      <c r="Q28" s="1"/>
      <c r="R28" s="1"/>
    </row>
    <row r="29" spans="2:18" x14ac:dyDescent="0.25">
      <c r="B29" s="229">
        <v>2</v>
      </c>
      <c r="C29" s="398" t="s">
        <v>31</v>
      </c>
      <c r="D29" s="398"/>
      <c r="E29" s="398"/>
      <c r="F29" s="398"/>
      <c r="G29" s="398"/>
      <c r="H29" s="398"/>
      <c r="I29" s="398"/>
      <c r="J29" s="138" t="s">
        <v>24</v>
      </c>
      <c r="L29" s="1"/>
      <c r="M29" s="1"/>
      <c r="N29" s="1"/>
      <c r="O29" s="1"/>
      <c r="P29" s="1"/>
      <c r="Q29" s="1"/>
      <c r="R29" s="1"/>
    </row>
    <row r="30" spans="2:18" x14ac:dyDescent="0.25">
      <c r="B30" s="410" t="s">
        <v>3</v>
      </c>
      <c r="C30" s="426" t="s">
        <v>32</v>
      </c>
      <c r="D30" s="427"/>
      <c r="E30" s="428"/>
      <c r="F30" s="232" t="s">
        <v>33</v>
      </c>
      <c r="G30" s="232" t="s">
        <v>34</v>
      </c>
      <c r="H30" s="232" t="s">
        <v>35</v>
      </c>
      <c r="I30" s="232" t="s">
        <v>36</v>
      </c>
      <c r="J30" s="475">
        <v>50</v>
      </c>
      <c r="K30" s="477" t="s">
        <v>37</v>
      </c>
      <c r="L30" s="477"/>
      <c r="M30" s="477"/>
      <c r="N30" s="477"/>
      <c r="O30" s="477"/>
      <c r="P30" s="477"/>
      <c r="Q30" s="1"/>
      <c r="R30" s="1"/>
    </row>
    <row r="31" spans="2:18" x14ac:dyDescent="0.25">
      <c r="B31" s="411"/>
      <c r="C31" s="429" t="s">
        <v>38</v>
      </c>
      <c r="D31" s="430"/>
      <c r="E31" s="431"/>
      <c r="F31" s="142">
        <v>2</v>
      </c>
      <c r="G31" s="143">
        <v>50</v>
      </c>
      <c r="H31" s="144">
        <v>1</v>
      </c>
      <c r="I31" s="145">
        <v>0</v>
      </c>
      <c r="J31" s="476"/>
      <c r="K31" s="477"/>
      <c r="L31" s="477"/>
      <c r="M31" s="477"/>
      <c r="N31" s="477"/>
      <c r="O31" s="477"/>
      <c r="P31" s="477"/>
      <c r="Q31" s="1"/>
      <c r="R31" s="1"/>
    </row>
    <row r="32" spans="2:18" x14ac:dyDescent="0.25">
      <c r="B32" s="410" t="s">
        <v>5</v>
      </c>
      <c r="C32" s="218" t="s">
        <v>39</v>
      </c>
      <c r="D32" s="219"/>
      <c r="E32" s="219"/>
      <c r="F32" s="219"/>
      <c r="G32" s="232" t="s">
        <v>34</v>
      </c>
      <c r="H32" s="232" t="s">
        <v>35</v>
      </c>
      <c r="I32" s="232" t="s">
        <v>36</v>
      </c>
      <c r="J32" s="478">
        <f>((G33-I33)*H33)</f>
        <v>277.2</v>
      </c>
      <c r="K32" s="477" t="s">
        <v>335</v>
      </c>
      <c r="L32" s="477"/>
      <c r="M32" s="477"/>
      <c r="N32" s="477"/>
      <c r="O32" s="477"/>
      <c r="P32" s="477"/>
      <c r="Q32" s="1"/>
      <c r="R32" s="1"/>
    </row>
    <row r="33" spans="2:18" x14ac:dyDescent="0.25">
      <c r="B33" s="411"/>
      <c r="C33" s="220" t="s">
        <v>201</v>
      </c>
      <c r="D33" s="221"/>
      <c r="E33" s="221"/>
      <c r="F33" s="221"/>
      <c r="G33" s="143">
        <v>14</v>
      </c>
      <c r="H33" s="144">
        <v>22</v>
      </c>
      <c r="I33" s="145">
        <v>1.4</v>
      </c>
      <c r="J33" s="479"/>
      <c r="K33" s="477"/>
      <c r="L33" s="477"/>
      <c r="M33" s="477"/>
      <c r="N33" s="477"/>
      <c r="O33" s="477"/>
      <c r="P33" s="477"/>
      <c r="Q33" s="1"/>
      <c r="R33" s="1"/>
    </row>
    <row r="34" spans="2:18" x14ac:dyDescent="0.25">
      <c r="B34" s="137" t="s">
        <v>6</v>
      </c>
      <c r="C34" s="452" t="s">
        <v>326</v>
      </c>
      <c r="D34" s="453"/>
      <c r="E34" s="453"/>
      <c r="F34" s="453"/>
      <c r="G34" s="453"/>
      <c r="H34" s="453"/>
      <c r="I34" s="455"/>
      <c r="J34" s="146">
        <v>0</v>
      </c>
      <c r="K34" s="471"/>
      <c r="L34" s="472"/>
      <c r="M34" s="472"/>
      <c r="N34" s="472"/>
      <c r="O34" s="472"/>
      <c r="P34" s="472"/>
      <c r="Q34" s="1"/>
      <c r="R34" s="1"/>
    </row>
    <row r="35" spans="2:18" x14ac:dyDescent="0.25">
      <c r="B35" s="137" t="s">
        <v>8</v>
      </c>
      <c r="C35" s="452" t="s">
        <v>447</v>
      </c>
      <c r="D35" s="453"/>
      <c r="E35" s="453"/>
      <c r="F35" s="453"/>
      <c r="G35" s="453"/>
      <c r="H35" s="453"/>
      <c r="I35" s="455"/>
      <c r="J35" s="146">
        <v>22.7</v>
      </c>
      <c r="K35" s="471"/>
      <c r="L35" s="472"/>
      <c r="M35" s="472"/>
      <c r="N35" s="472"/>
      <c r="O35" s="472"/>
      <c r="P35" s="472"/>
      <c r="Q35" s="1"/>
      <c r="R35" s="1"/>
    </row>
    <row r="36" spans="2:18" x14ac:dyDescent="0.25">
      <c r="B36" s="137" t="s">
        <v>10</v>
      </c>
      <c r="C36" s="452" t="s">
        <v>327</v>
      </c>
      <c r="D36" s="453"/>
      <c r="E36" s="453"/>
      <c r="F36" s="453"/>
      <c r="G36" s="453"/>
      <c r="H36" s="453"/>
      <c r="I36" s="455"/>
      <c r="J36" s="146">
        <v>5</v>
      </c>
      <c r="K36" s="473" t="s">
        <v>202</v>
      </c>
      <c r="L36" s="474"/>
      <c r="M36" s="474"/>
      <c r="N36" s="474"/>
      <c r="O36" s="474"/>
      <c r="P36" s="474"/>
      <c r="Q36" s="1"/>
      <c r="R36" s="1"/>
    </row>
    <row r="37" spans="2:18" x14ac:dyDescent="0.25">
      <c r="B37" s="137" t="s">
        <v>12</v>
      </c>
      <c r="C37" s="452" t="s">
        <v>448</v>
      </c>
      <c r="D37" s="453"/>
      <c r="E37" s="453"/>
      <c r="F37" s="453"/>
      <c r="G37" s="453"/>
      <c r="H37" s="453"/>
      <c r="I37" s="455"/>
      <c r="J37" s="146">
        <v>110</v>
      </c>
      <c r="K37" s="471"/>
      <c r="L37" s="472"/>
      <c r="M37" s="472"/>
      <c r="N37" s="472"/>
      <c r="O37" s="472"/>
      <c r="P37" s="472"/>
      <c r="Q37" s="1"/>
      <c r="R37" s="1"/>
    </row>
    <row r="38" spans="2:18" x14ac:dyDescent="0.25">
      <c r="B38" s="229"/>
      <c r="C38" s="467" t="s">
        <v>40</v>
      </c>
      <c r="D38" s="468"/>
      <c r="E38" s="468"/>
      <c r="F38" s="468"/>
      <c r="G38" s="468"/>
      <c r="H38" s="468"/>
      <c r="I38" s="469"/>
      <c r="J38" s="147">
        <f>SUM(J30:J37)</f>
        <v>464.9</v>
      </c>
      <c r="Q38" s="1"/>
      <c r="R38" s="1"/>
    </row>
    <row r="39" spans="2:18" s="226" customFormat="1" x14ac:dyDescent="0.25">
      <c r="B39" s="470" t="s">
        <v>355</v>
      </c>
      <c r="C39" s="470"/>
      <c r="D39" s="470"/>
      <c r="E39" s="470"/>
      <c r="F39" s="470"/>
      <c r="G39" s="470"/>
      <c r="H39" s="470"/>
      <c r="I39" s="470"/>
      <c r="J39" s="470"/>
      <c r="K39" s="217"/>
    </row>
    <row r="40" spans="2:18" x14ac:dyDescent="0.25">
      <c r="B40" s="399" t="s">
        <v>41</v>
      </c>
      <c r="C40" s="399"/>
      <c r="D40" s="399"/>
      <c r="E40" s="399"/>
      <c r="F40" s="399"/>
      <c r="G40" s="399"/>
      <c r="H40" s="399"/>
      <c r="I40" s="399"/>
      <c r="J40" s="399"/>
      <c r="Q40" s="1"/>
      <c r="R40" s="1"/>
    </row>
    <row r="41" spans="2:18" x14ac:dyDescent="0.25">
      <c r="B41" s="229">
        <v>3</v>
      </c>
      <c r="C41" s="398" t="s">
        <v>42</v>
      </c>
      <c r="D41" s="398"/>
      <c r="E41" s="398"/>
      <c r="F41" s="398"/>
      <c r="G41" s="398"/>
      <c r="H41" s="398"/>
      <c r="I41" s="398"/>
      <c r="J41" s="138" t="s">
        <v>24</v>
      </c>
      <c r="Q41" s="1"/>
      <c r="R41" s="1"/>
    </row>
    <row r="42" spans="2:18" x14ac:dyDescent="0.25">
      <c r="B42" s="137" t="s">
        <v>3</v>
      </c>
      <c r="C42" s="464" t="s">
        <v>139</v>
      </c>
      <c r="D42" s="465"/>
      <c r="E42" s="465"/>
      <c r="F42" s="465"/>
      <c r="G42" s="465"/>
      <c r="H42" s="465"/>
      <c r="I42" s="466"/>
      <c r="J42" s="139">
        <f>'Unif. Serv'!E10</f>
        <v>27.26</v>
      </c>
      <c r="K42" s="230" t="s">
        <v>294</v>
      </c>
      <c r="Q42" s="1"/>
      <c r="R42" s="1"/>
    </row>
    <row r="43" spans="2:18" x14ac:dyDescent="0.25">
      <c r="B43" s="137" t="s">
        <v>5</v>
      </c>
      <c r="C43" s="464" t="s">
        <v>43</v>
      </c>
      <c r="D43" s="465"/>
      <c r="E43" s="465"/>
      <c r="F43" s="465"/>
      <c r="G43" s="465"/>
      <c r="H43" s="465"/>
      <c r="I43" s="466"/>
      <c r="J43" s="139">
        <v>300</v>
      </c>
      <c r="K43" s="230" t="s">
        <v>328</v>
      </c>
      <c r="Q43" s="1"/>
      <c r="R43" s="1"/>
    </row>
    <row r="44" spans="2:18" x14ac:dyDescent="0.25">
      <c r="B44" s="137" t="s">
        <v>6</v>
      </c>
      <c r="C44" s="464" t="s">
        <v>44</v>
      </c>
      <c r="D44" s="465"/>
      <c r="E44" s="465"/>
      <c r="F44" s="465"/>
      <c r="G44" s="465"/>
      <c r="H44" s="465"/>
      <c r="I44" s="466"/>
      <c r="J44" s="139">
        <v>30</v>
      </c>
      <c r="K44" s="217" t="s">
        <v>328</v>
      </c>
      <c r="Q44" s="1"/>
      <c r="R44" s="1"/>
    </row>
    <row r="45" spans="2:18" x14ac:dyDescent="0.25">
      <c r="B45" s="137" t="s">
        <v>8</v>
      </c>
      <c r="C45" s="452" t="s">
        <v>331</v>
      </c>
      <c r="D45" s="453"/>
      <c r="E45" s="453"/>
      <c r="F45" s="453"/>
      <c r="G45" s="453"/>
      <c r="H45" s="453"/>
      <c r="I45" s="455"/>
      <c r="J45" s="140">
        <v>0</v>
      </c>
      <c r="K45" s="12"/>
      <c r="N45" s="1"/>
      <c r="O45" s="1"/>
      <c r="P45" s="1"/>
      <c r="Q45" s="1"/>
      <c r="R45" s="1"/>
    </row>
    <row r="46" spans="2:18" x14ac:dyDescent="0.25">
      <c r="B46" s="229"/>
      <c r="C46" s="467" t="s">
        <v>45</v>
      </c>
      <c r="D46" s="468"/>
      <c r="E46" s="468"/>
      <c r="F46" s="468"/>
      <c r="G46" s="468"/>
      <c r="H46" s="468"/>
      <c r="I46" s="469"/>
      <c r="J46" s="141">
        <f>SUM(J42:J45)</f>
        <v>357.26</v>
      </c>
      <c r="N46" s="1"/>
      <c r="O46" s="1"/>
      <c r="P46" s="1"/>
      <c r="Q46" s="1"/>
      <c r="R46" s="1"/>
    </row>
    <row r="47" spans="2:18" s="226" customFormat="1" x14ac:dyDescent="0.25">
      <c r="B47" s="470" t="s">
        <v>356</v>
      </c>
      <c r="C47" s="470"/>
      <c r="D47" s="470"/>
      <c r="E47" s="470"/>
      <c r="F47" s="470"/>
      <c r="G47" s="470"/>
      <c r="H47" s="470"/>
      <c r="I47" s="470"/>
      <c r="J47" s="470"/>
      <c r="K47" s="217"/>
    </row>
    <row r="48" spans="2:18" x14ac:dyDescent="0.25">
      <c r="B48" s="399" t="s">
        <v>46</v>
      </c>
      <c r="C48" s="399"/>
      <c r="D48" s="399"/>
      <c r="E48" s="399"/>
      <c r="F48" s="399"/>
      <c r="G48" s="399"/>
      <c r="H48" s="399"/>
      <c r="I48" s="399"/>
      <c r="J48" s="399"/>
      <c r="N48" s="1"/>
      <c r="O48" s="1"/>
      <c r="P48" s="1"/>
      <c r="Q48" s="1"/>
      <c r="R48" s="1"/>
    </row>
    <row r="49" spans="2:18" x14ac:dyDescent="0.25">
      <c r="B49" s="407" t="s">
        <v>47</v>
      </c>
      <c r="C49" s="407"/>
      <c r="D49" s="407"/>
      <c r="E49" s="407"/>
      <c r="F49" s="407"/>
      <c r="G49" s="407"/>
      <c r="H49" s="407"/>
      <c r="I49" s="407"/>
      <c r="J49" s="407"/>
      <c r="N49" s="1"/>
      <c r="O49" s="1"/>
      <c r="P49" s="1"/>
      <c r="Q49" s="1"/>
      <c r="R49" s="1"/>
    </row>
    <row r="50" spans="2:18" x14ac:dyDescent="0.25">
      <c r="B50" s="229" t="s">
        <v>48</v>
      </c>
      <c r="C50" s="398" t="s">
        <v>49</v>
      </c>
      <c r="D50" s="398"/>
      <c r="E50" s="398"/>
      <c r="F50" s="398"/>
      <c r="G50" s="398"/>
      <c r="H50" s="398"/>
      <c r="I50" s="229" t="s">
        <v>50</v>
      </c>
      <c r="J50" s="138" t="s">
        <v>24</v>
      </c>
      <c r="M50" s="226" t="s">
        <v>51</v>
      </c>
      <c r="N50" s="1"/>
      <c r="O50" s="1"/>
      <c r="P50" s="1"/>
      <c r="Q50" s="1"/>
      <c r="R50" s="1"/>
    </row>
    <row r="51" spans="2:18" x14ac:dyDescent="0.25">
      <c r="B51" s="137" t="s">
        <v>3</v>
      </c>
      <c r="C51" s="396" t="s">
        <v>52</v>
      </c>
      <c r="D51" s="396"/>
      <c r="E51" s="396"/>
      <c r="F51" s="396"/>
      <c r="G51" s="396"/>
      <c r="H51" s="396"/>
      <c r="I51" s="148">
        <v>0.2</v>
      </c>
      <c r="J51" s="140">
        <f>ROUND($J$27*I51,2)</f>
        <v>259.57</v>
      </c>
      <c r="K51" s="425" t="s">
        <v>53</v>
      </c>
      <c r="L51" s="425"/>
      <c r="N51" s="1"/>
      <c r="O51" s="1"/>
      <c r="P51" s="1"/>
      <c r="Q51" s="1"/>
      <c r="R51" s="1"/>
    </row>
    <row r="52" spans="2:18" x14ac:dyDescent="0.25">
      <c r="B52" s="137" t="s">
        <v>5</v>
      </c>
      <c r="C52" s="396" t="s">
        <v>54</v>
      </c>
      <c r="D52" s="396"/>
      <c r="E52" s="396"/>
      <c r="F52" s="396"/>
      <c r="G52" s="396"/>
      <c r="H52" s="396"/>
      <c r="I52" s="148">
        <v>0</v>
      </c>
      <c r="J52" s="140">
        <f t="shared" ref="J52:J57" si="0">ROUND($J$27*I52,2)</f>
        <v>0</v>
      </c>
      <c r="K52" s="425" t="s">
        <v>55</v>
      </c>
      <c r="L52" s="425"/>
      <c r="M52" s="217"/>
      <c r="N52" s="1"/>
      <c r="O52" s="1"/>
      <c r="P52" s="1"/>
      <c r="Q52" s="1"/>
      <c r="R52" s="1"/>
    </row>
    <row r="53" spans="2:18" x14ac:dyDescent="0.25">
      <c r="B53" s="137" t="s">
        <v>6</v>
      </c>
      <c r="C53" s="396" t="s">
        <v>56</v>
      </c>
      <c r="D53" s="396"/>
      <c r="E53" s="396"/>
      <c r="F53" s="396"/>
      <c r="G53" s="396"/>
      <c r="H53" s="396"/>
      <c r="I53" s="148">
        <v>0</v>
      </c>
      <c r="J53" s="140">
        <f t="shared" si="0"/>
        <v>0</v>
      </c>
      <c r="K53" s="425" t="s">
        <v>57</v>
      </c>
      <c r="L53" s="425"/>
      <c r="M53" s="217"/>
      <c r="N53" s="1"/>
      <c r="O53" s="1"/>
      <c r="P53" s="1"/>
      <c r="Q53" s="1"/>
      <c r="R53" s="1"/>
    </row>
    <row r="54" spans="2:18" x14ac:dyDescent="0.25">
      <c r="B54" s="137" t="s">
        <v>8</v>
      </c>
      <c r="C54" s="396" t="s">
        <v>58</v>
      </c>
      <c r="D54" s="396"/>
      <c r="E54" s="396"/>
      <c r="F54" s="396"/>
      <c r="G54" s="396"/>
      <c r="H54" s="396"/>
      <c r="I54" s="148">
        <v>0</v>
      </c>
      <c r="J54" s="140">
        <f t="shared" si="0"/>
        <v>0</v>
      </c>
      <c r="K54" s="425" t="s">
        <v>59</v>
      </c>
      <c r="L54" s="425"/>
      <c r="M54" s="217"/>
      <c r="N54" s="1"/>
      <c r="O54" s="1"/>
      <c r="P54" s="1"/>
      <c r="Q54" s="1"/>
      <c r="R54" s="1"/>
    </row>
    <row r="55" spans="2:18" x14ac:dyDescent="0.25">
      <c r="B55" s="137" t="s">
        <v>10</v>
      </c>
      <c r="C55" s="396" t="s">
        <v>60</v>
      </c>
      <c r="D55" s="396"/>
      <c r="E55" s="396"/>
      <c r="F55" s="396"/>
      <c r="G55" s="396"/>
      <c r="H55" s="396"/>
      <c r="I55" s="149">
        <v>0</v>
      </c>
      <c r="J55" s="140">
        <f t="shared" si="0"/>
        <v>0</v>
      </c>
      <c r="K55" s="425" t="s">
        <v>61</v>
      </c>
      <c r="L55" s="425"/>
      <c r="M55" s="217"/>
      <c r="N55" s="1"/>
      <c r="O55" s="1"/>
      <c r="P55" s="1"/>
      <c r="Q55" s="1"/>
      <c r="R55" s="1"/>
    </row>
    <row r="56" spans="2:18" x14ac:dyDescent="0.25">
      <c r="B56" s="137" t="s">
        <v>12</v>
      </c>
      <c r="C56" s="396" t="s">
        <v>62</v>
      </c>
      <c r="D56" s="396"/>
      <c r="E56" s="396"/>
      <c r="F56" s="396"/>
      <c r="G56" s="396"/>
      <c r="H56" s="396"/>
      <c r="I56" s="149">
        <v>0.08</v>
      </c>
      <c r="J56" s="140">
        <f t="shared" si="0"/>
        <v>103.83</v>
      </c>
      <c r="K56" s="425" t="s">
        <v>63</v>
      </c>
      <c r="L56" s="425"/>
      <c r="M56" s="6" t="s">
        <v>64</v>
      </c>
      <c r="N56" s="1"/>
      <c r="O56" s="1"/>
      <c r="P56" s="1"/>
      <c r="Q56" s="1"/>
      <c r="R56" s="1"/>
    </row>
    <row r="57" spans="2:18" ht="12.75" customHeight="1" x14ac:dyDescent="0.25">
      <c r="B57" s="459" t="s">
        <v>26</v>
      </c>
      <c r="C57" s="412" t="s">
        <v>65</v>
      </c>
      <c r="D57" s="413"/>
      <c r="E57" s="413"/>
      <c r="F57" s="414"/>
      <c r="G57" s="150" t="s">
        <v>66</v>
      </c>
      <c r="H57" s="150" t="s">
        <v>67</v>
      </c>
      <c r="I57" s="461">
        <f>G58*H58</f>
        <v>0.03</v>
      </c>
      <c r="J57" s="417">
        <f t="shared" si="0"/>
        <v>38.94</v>
      </c>
      <c r="K57" s="463" t="s">
        <v>68</v>
      </c>
      <c r="L57" s="463"/>
      <c r="M57" s="217" t="s">
        <v>144</v>
      </c>
      <c r="N57" s="1"/>
      <c r="O57" s="1"/>
      <c r="P57" s="1"/>
      <c r="Q57" s="1"/>
      <c r="R57" s="1"/>
    </row>
    <row r="58" spans="2:18" x14ac:dyDescent="0.25">
      <c r="B58" s="460"/>
      <c r="C58" s="438"/>
      <c r="D58" s="439"/>
      <c r="E58" s="439"/>
      <c r="F58" s="440"/>
      <c r="G58" s="216">
        <v>0.03</v>
      </c>
      <c r="H58" s="151">
        <v>1</v>
      </c>
      <c r="I58" s="462"/>
      <c r="J58" s="418"/>
      <c r="K58" s="463"/>
      <c r="L58" s="463"/>
      <c r="M58" s="217" t="s">
        <v>69</v>
      </c>
      <c r="N58" s="1"/>
      <c r="O58" s="1"/>
      <c r="P58" s="1"/>
      <c r="Q58" s="1"/>
      <c r="R58" s="1"/>
    </row>
    <row r="59" spans="2:18" x14ac:dyDescent="0.25">
      <c r="B59" s="137" t="s">
        <v>27</v>
      </c>
      <c r="C59" s="452" t="s">
        <v>70</v>
      </c>
      <c r="D59" s="453"/>
      <c r="E59" s="453"/>
      <c r="F59" s="453"/>
      <c r="G59" s="453"/>
      <c r="H59" s="454"/>
      <c r="I59" s="148">
        <v>0</v>
      </c>
      <c r="J59" s="140">
        <f>ROUND($J$27*I59,2)</f>
        <v>0</v>
      </c>
      <c r="K59" s="425" t="s">
        <v>71</v>
      </c>
      <c r="L59" s="425"/>
      <c r="M59" s="217" t="s">
        <v>145</v>
      </c>
      <c r="N59" s="1"/>
      <c r="O59" s="1"/>
      <c r="P59" s="1"/>
      <c r="Q59" s="1"/>
      <c r="R59" s="1"/>
    </row>
    <row r="60" spans="2:18" x14ac:dyDescent="0.25">
      <c r="B60" s="137" t="s">
        <v>72</v>
      </c>
      <c r="C60" s="452" t="s">
        <v>73</v>
      </c>
      <c r="D60" s="453"/>
      <c r="E60" s="453"/>
      <c r="F60" s="453"/>
      <c r="G60" s="453"/>
      <c r="H60" s="455"/>
      <c r="I60" s="152">
        <v>0</v>
      </c>
      <c r="J60" s="140">
        <f>ROUND($J$27*I60,2)</f>
        <v>0</v>
      </c>
      <c r="K60" s="425" t="s">
        <v>74</v>
      </c>
      <c r="L60" s="425"/>
      <c r="M60" s="217"/>
      <c r="N60" s="1"/>
      <c r="O60" s="1"/>
      <c r="P60" s="1"/>
      <c r="Q60" s="1"/>
      <c r="R60" s="1"/>
    </row>
    <row r="61" spans="2:18" x14ac:dyDescent="0.25">
      <c r="B61" s="229"/>
      <c r="C61" s="456" t="s">
        <v>75</v>
      </c>
      <c r="D61" s="457"/>
      <c r="E61" s="457"/>
      <c r="F61" s="457"/>
      <c r="G61" s="457"/>
      <c r="H61" s="458"/>
      <c r="I61" s="153">
        <f>(I51+I52+I53+I54+I55+I56+I57+I59)</f>
        <v>0.31</v>
      </c>
      <c r="J61" s="141">
        <f>SUM(J51:J60)</f>
        <v>402.34</v>
      </c>
      <c r="M61" s="1"/>
      <c r="N61" s="1"/>
      <c r="O61" s="1"/>
      <c r="P61" s="1"/>
      <c r="Q61" s="1"/>
      <c r="R61" s="1"/>
    </row>
    <row r="62" spans="2:18" x14ac:dyDescent="0.25">
      <c r="B62" s="407" t="s">
        <v>76</v>
      </c>
      <c r="C62" s="407"/>
      <c r="D62" s="407"/>
      <c r="E62" s="407"/>
      <c r="F62" s="407"/>
      <c r="G62" s="407"/>
      <c r="H62" s="407"/>
      <c r="I62" s="407"/>
      <c r="J62" s="407"/>
      <c r="M62" s="1"/>
      <c r="N62" s="1"/>
      <c r="O62" s="1"/>
      <c r="P62" s="1"/>
      <c r="Q62" s="1"/>
      <c r="R62" s="1"/>
    </row>
    <row r="63" spans="2:18" x14ac:dyDescent="0.25">
      <c r="B63" s="229" t="s">
        <v>77</v>
      </c>
      <c r="C63" s="398" t="s">
        <v>78</v>
      </c>
      <c r="D63" s="398"/>
      <c r="E63" s="398"/>
      <c r="F63" s="398"/>
      <c r="G63" s="398"/>
      <c r="H63" s="398"/>
      <c r="I63" s="229" t="s">
        <v>50</v>
      </c>
      <c r="J63" s="138" t="s">
        <v>24</v>
      </c>
      <c r="M63" s="1"/>
      <c r="N63" s="1"/>
      <c r="O63" s="1"/>
      <c r="P63" s="1"/>
      <c r="Q63" s="1"/>
      <c r="R63" s="1"/>
    </row>
    <row r="64" spans="2:18" x14ac:dyDescent="0.25">
      <c r="B64" s="410" t="s">
        <v>3</v>
      </c>
      <c r="C64" s="426" t="s">
        <v>79</v>
      </c>
      <c r="D64" s="427"/>
      <c r="E64" s="427"/>
      <c r="F64" s="427"/>
      <c r="G64" s="427"/>
      <c r="H64" s="428"/>
      <c r="I64" s="446">
        <f>+J64/$J$27</f>
        <v>8.3299999999999999E-2</v>
      </c>
      <c r="J64" s="417">
        <f>ROUND($J$27/12,2)</f>
        <v>108.16</v>
      </c>
      <c r="K64" s="217" t="s">
        <v>80</v>
      </c>
      <c r="M64" s="1"/>
      <c r="N64" s="1"/>
      <c r="O64" s="1"/>
      <c r="P64" s="1"/>
      <c r="Q64" s="1"/>
      <c r="R64" s="1"/>
    </row>
    <row r="65" spans="2:18" x14ac:dyDescent="0.25">
      <c r="B65" s="411"/>
      <c r="C65" s="429" t="s">
        <v>80</v>
      </c>
      <c r="D65" s="430"/>
      <c r="E65" s="430"/>
      <c r="F65" s="430"/>
      <c r="G65" s="430"/>
      <c r="H65" s="431"/>
      <c r="I65" s="447"/>
      <c r="J65" s="418"/>
      <c r="L65" s="28"/>
      <c r="M65" s="1"/>
      <c r="N65" s="1"/>
      <c r="O65" s="1"/>
      <c r="P65" s="1"/>
      <c r="Q65" s="1"/>
      <c r="R65" s="1"/>
    </row>
    <row r="66" spans="2:18" x14ac:dyDescent="0.25">
      <c r="B66" s="222"/>
      <c r="C66" s="449" t="s">
        <v>81</v>
      </c>
      <c r="D66" s="450"/>
      <c r="E66" s="450"/>
      <c r="F66" s="450"/>
      <c r="G66" s="450"/>
      <c r="H66" s="451"/>
      <c r="I66" s="154"/>
      <c r="J66" s="155">
        <f>SUM(J64:J64)</f>
        <v>108.16</v>
      </c>
      <c r="K66" s="7">
        <f>+J66/J27</f>
        <v>8.3299999999999999E-2</v>
      </c>
      <c r="L66" s="8"/>
      <c r="M66" s="1"/>
      <c r="N66" s="1"/>
      <c r="O66" s="1"/>
      <c r="P66" s="1"/>
      <c r="Q66" s="1"/>
      <c r="R66" s="1"/>
    </row>
    <row r="67" spans="2:18" ht="12.75" customHeight="1" x14ac:dyDescent="0.25">
      <c r="B67" s="410" t="s">
        <v>5</v>
      </c>
      <c r="C67" s="412" t="s">
        <v>82</v>
      </c>
      <c r="D67" s="413"/>
      <c r="E67" s="413"/>
      <c r="F67" s="413"/>
      <c r="G67" s="413"/>
      <c r="H67" s="414"/>
      <c r="I67" s="446">
        <v>2.7799999999999998E-2</v>
      </c>
      <c r="J67" s="417">
        <f>ROUND(J66*$I$61,2)</f>
        <v>33.53</v>
      </c>
      <c r="K67" s="217" t="s">
        <v>83</v>
      </c>
      <c r="M67" s="1"/>
      <c r="N67" s="1"/>
      <c r="O67" s="1"/>
      <c r="P67" s="1"/>
      <c r="Q67" s="1"/>
      <c r="R67" s="1"/>
    </row>
    <row r="68" spans="2:18" x14ac:dyDescent="0.25">
      <c r="B68" s="411"/>
      <c r="C68" s="419" t="s">
        <v>84</v>
      </c>
      <c r="D68" s="420"/>
      <c r="E68" s="420"/>
      <c r="F68" s="420"/>
      <c r="G68" s="420"/>
      <c r="H68" s="421"/>
      <c r="I68" s="447"/>
      <c r="J68" s="418"/>
      <c r="L68" s="28"/>
      <c r="M68" s="1"/>
      <c r="N68" s="1"/>
      <c r="O68" s="1"/>
      <c r="P68" s="1"/>
      <c r="Q68" s="1"/>
      <c r="R68" s="1"/>
    </row>
    <row r="69" spans="2:18" x14ac:dyDescent="0.25">
      <c r="B69" s="229"/>
      <c r="C69" s="398" t="s">
        <v>75</v>
      </c>
      <c r="D69" s="398"/>
      <c r="E69" s="398"/>
      <c r="F69" s="398"/>
      <c r="G69" s="398"/>
      <c r="H69" s="398"/>
      <c r="I69" s="153">
        <f>+I64+I67</f>
        <v>0.1111</v>
      </c>
      <c r="J69" s="141">
        <f>SUM(J66:J67)</f>
        <v>141.69</v>
      </c>
      <c r="M69" s="1"/>
      <c r="N69" s="1"/>
      <c r="O69" s="1"/>
      <c r="P69" s="1"/>
      <c r="Q69" s="1"/>
      <c r="R69" s="1"/>
    </row>
    <row r="70" spans="2:18" x14ac:dyDescent="0.25">
      <c r="B70" s="407" t="s">
        <v>85</v>
      </c>
      <c r="C70" s="407"/>
      <c r="D70" s="407"/>
      <c r="E70" s="407"/>
      <c r="F70" s="407"/>
      <c r="G70" s="407"/>
      <c r="H70" s="407"/>
      <c r="I70" s="407"/>
      <c r="J70" s="407"/>
      <c r="M70" s="1"/>
      <c r="N70" s="1"/>
      <c r="O70" s="1"/>
      <c r="P70" s="1"/>
      <c r="Q70" s="1"/>
      <c r="R70" s="1"/>
    </row>
    <row r="71" spans="2:18" x14ac:dyDescent="0.25">
      <c r="B71" s="229" t="s">
        <v>86</v>
      </c>
      <c r="C71" s="398" t="s">
        <v>87</v>
      </c>
      <c r="D71" s="398"/>
      <c r="E71" s="398"/>
      <c r="F71" s="398"/>
      <c r="G71" s="398"/>
      <c r="H71" s="398"/>
      <c r="I71" s="229" t="s">
        <v>50</v>
      </c>
      <c r="J71" s="138" t="s">
        <v>24</v>
      </c>
      <c r="M71" s="1"/>
      <c r="N71" s="1"/>
      <c r="O71" s="1"/>
      <c r="P71" s="1"/>
      <c r="Q71" s="1"/>
      <c r="R71" s="1"/>
    </row>
    <row r="72" spans="2:18" x14ac:dyDescent="0.25">
      <c r="B72" s="410" t="s">
        <v>3</v>
      </c>
      <c r="C72" s="426" t="s">
        <v>88</v>
      </c>
      <c r="D72" s="427"/>
      <c r="E72" s="427"/>
      <c r="F72" s="427"/>
      <c r="G72" s="427"/>
      <c r="H72" s="428"/>
      <c r="I72" s="446">
        <f>J72/$J$27</f>
        <v>6.9999999999999999E-4</v>
      </c>
      <c r="J72" s="417">
        <f>ROUND(((($J$27+(J27/3))/12)*(4/12))*2%,2)</f>
        <v>0.96</v>
      </c>
      <c r="K72" s="7" t="s">
        <v>89</v>
      </c>
      <c r="M72" s="1"/>
      <c r="N72" s="1"/>
      <c r="O72" s="1"/>
      <c r="P72" s="1"/>
      <c r="Q72" s="1"/>
      <c r="R72" s="1"/>
    </row>
    <row r="73" spans="2:18" x14ac:dyDescent="0.25">
      <c r="B73" s="411"/>
      <c r="C73" s="448" t="s">
        <v>89</v>
      </c>
      <c r="D73" s="430"/>
      <c r="E73" s="430"/>
      <c r="F73" s="430"/>
      <c r="G73" s="430"/>
      <c r="H73" s="431"/>
      <c r="I73" s="447"/>
      <c r="J73" s="418"/>
      <c r="K73" s="7"/>
      <c r="M73" s="1"/>
      <c r="N73" s="1"/>
      <c r="O73" s="1"/>
      <c r="P73" s="1"/>
      <c r="Q73" s="1"/>
      <c r="R73" s="1"/>
    </row>
    <row r="74" spans="2:18" ht="12.75" customHeight="1" x14ac:dyDescent="0.25">
      <c r="B74" s="410" t="s">
        <v>5</v>
      </c>
      <c r="C74" s="412" t="s">
        <v>90</v>
      </c>
      <c r="D74" s="413"/>
      <c r="E74" s="413"/>
      <c r="F74" s="413"/>
      <c r="G74" s="413"/>
      <c r="H74" s="414"/>
      <c r="I74" s="446">
        <f>J74/$J$27</f>
        <v>2.0000000000000001E-4</v>
      </c>
      <c r="J74" s="417">
        <f>ROUND(J72*$I$61,2)</f>
        <v>0.3</v>
      </c>
      <c r="K74" s="217" t="s">
        <v>197</v>
      </c>
      <c r="M74" s="1"/>
      <c r="N74" s="1"/>
      <c r="O74" s="1"/>
      <c r="P74" s="1"/>
      <c r="Q74" s="1"/>
      <c r="R74" s="1"/>
    </row>
    <row r="75" spans="2:18" x14ac:dyDescent="0.25">
      <c r="B75" s="411"/>
      <c r="C75" s="419" t="s">
        <v>197</v>
      </c>
      <c r="D75" s="420"/>
      <c r="E75" s="420"/>
      <c r="F75" s="420"/>
      <c r="G75" s="420"/>
      <c r="H75" s="421"/>
      <c r="I75" s="447"/>
      <c r="J75" s="418"/>
      <c r="L75" s="28"/>
      <c r="M75" s="1"/>
      <c r="N75" s="1"/>
      <c r="O75" s="1"/>
      <c r="P75" s="1"/>
      <c r="Q75" s="1"/>
      <c r="R75" s="1"/>
    </row>
    <row r="76" spans="2:18" x14ac:dyDescent="0.25">
      <c r="B76" s="229"/>
      <c r="C76" s="398" t="s">
        <v>75</v>
      </c>
      <c r="D76" s="398"/>
      <c r="E76" s="398"/>
      <c r="F76" s="398"/>
      <c r="G76" s="398"/>
      <c r="H76" s="398"/>
      <c r="I76" s="153">
        <f>+I72+I74</f>
        <v>8.9999999999999998E-4</v>
      </c>
      <c r="J76" s="141">
        <f>SUM(J72:J74)</f>
        <v>1.26</v>
      </c>
      <c r="M76" s="1"/>
      <c r="N76" s="1"/>
      <c r="O76" s="1"/>
      <c r="P76" s="1"/>
      <c r="Q76" s="1"/>
      <c r="R76" s="1"/>
    </row>
    <row r="77" spans="2:18" x14ac:dyDescent="0.25">
      <c r="B77" s="407" t="s">
        <v>91</v>
      </c>
      <c r="C77" s="407"/>
      <c r="D77" s="407"/>
      <c r="E77" s="407"/>
      <c r="F77" s="407"/>
      <c r="G77" s="407"/>
      <c r="H77" s="407"/>
      <c r="I77" s="407"/>
      <c r="J77" s="407"/>
      <c r="Q77" s="1"/>
      <c r="R77" s="1"/>
    </row>
    <row r="78" spans="2:18" x14ac:dyDescent="0.25">
      <c r="B78" s="229" t="s">
        <v>92</v>
      </c>
      <c r="C78" s="443" t="s">
        <v>93</v>
      </c>
      <c r="D78" s="444"/>
      <c r="E78" s="444"/>
      <c r="F78" s="444"/>
      <c r="G78" s="444"/>
      <c r="H78" s="445"/>
      <c r="I78" s="229" t="s">
        <v>50</v>
      </c>
      <c r="J78" s="138" t="s">
        <v>24</v>
      </c>
      <c r="Q78" s="1"/>
      <c r="R78" s="1"/>
    </row>
    <row r="79" spans="2:18" x14ac:dyDescent="0.25">
      <c r="B79" s="410" t="s">
        <v>3</v>
      </c>
      <c r="C79" s="426" t="s">
        <v>94</v>
      </c>
      <c r="D79" s="427"/>
      <c r="E79" s="427"/>
      <c r="F79" s="427"/>
      <c r="G79" s="427"/>
      <c r="H79" s="428"/>
      <c r="I79" s="415">
        <f>+J79/$J$27</f>
        <v>4.1999999999999997E-3</v>
      </c>
      <c r="J79" s="417">
        <f>ROUND((((J27/12)*(30/30))*5)/100,2)</f>
        <v>5.41</v>
      </c>
      <c r="K79" s="7" t="s">
        <v>95</v>
      </c>
      <c r="Q79" s="1"/>
      <c r="R79" s="1"/>
    </row>
    <row r="80" spans="2:18" x14ac:dyDescent="0.25">
      <c r="B80" s="411"/>
      <c r="C80" s="429" t="s">
        <v>140</v>
      </c>
      <c r="D80" s="430"/>
      <c r="E80" s="430"/>
      <c r="F80" s="430"/>
      <c r="G80" s="430"/>
      <c r="H80" s="431"/>
      <c r="I80" s="416"/>
      <c r="J80" s="418"/>
      <c r="K80" s="7"/>
      <c r="Q80" s="1"/>
      <c r="R80" s="1"/>
    </row>
    <row r="81" spans="2:18" ht="12.75" customHeight="1" x14ac:dyDescent="0.25">
      <c r="B81" s="410" t="s">
        <v>5</v>
      </c>
      <c r="C81" s="432" t="s">
        <v>96</v>
      </c>
      <c r="D81" s="433"/>
      <c r="E81" s="433"/>
      <c r="F81" s="433"/>
      <c r="G81" s="433"/>
      <c r="H81" s="434"/>
      <c r="I81" s="415">
        <f>+J81/$J$27</f>
        <v>2.9999999999999997E-4</v>
      </c>
      <c r="J81" s="417">
        <f>ROUND(J79*8%,2)</f>
        <v>0.43</v>
      </c>
      <c r="K81" s="217" t="s">
        <v>97</v>
      </c>
      <c r="Q81" s="1"/>
      <c r="R81" s="1"/>
    </row>
    <row r="82" spans="2:18" x14ac:dyDescent="0.25">
      <c r="B82" s="411"/>
      <c r="C82" s="432" t="s">
        <v>97</v>
      </c>
      <c r="D82" s="433"/>
      <c r="E82" s="433"/>
      <c r="F82" s="433"/>
      <c r="G82" s="433"/>
      <c r="H82" s="434"/>
      <c r="I82" s="416"/>
      <c r="J82" s="418"/>
      <c r="Q82" s="1"/>
      <c r="R82" s="1"/>
    </row>
    <row r="83" spans="2:18" ht="12.75" customHeight="1" x14ac:dyDescent="0.25">
      <c r="B83" s="410" t="s">
        <v>6</v>
      </c>
      <c r="C83" s="441" t="s">
        <v>98</v>
      </c>
      <c r="D83" s="441"/>
      <c r="E83" s="441"/>
      <c r="F83" s="441"/>
      <c r="G83" s="441"/>
      <c r="H83" s="441"/>
      <c r="I83" s="415">
        <f xml:space="preserve"> ((7 / 30) / 12)</f>
        <v>1.9400000000000001E-2</v>
      </c>
      <c r="J83" s="417">
        <f>ROUND(((J27/30)*7)/12,2)</f>
        <v>25.24</v>
      </c>
      <c r="K83" s="7" t="s">
        <v>99</v>
      </c>
      <c r="Q83" s="1"/>
      <c r="R83" s="1"/>
    </row>
    <row r="84" spans="2:18" ht="18.75" customHeight="1" x14ac:dyDescent="0.25">
      <c r="B84" s="411"/>
      <c r="C84" s="442" t="s">
        <v>100</v>
      </c>
      <c r="D84" s="442"/>
      <c r="E84" s="442"/>
      <c r="F84" s="442"/>
      <c r="G84" s="442"/>
      <c r="H84" s="442"/>
      <c r="I84" s="416"/>
      <c r="J84" s="418"/>
      <c r="K84" s="7"/>
      <c r="M84" s="28"/>
      <c r="N84" s="28"/>
      <c r="O84" s="28"/>
      <c r="Q84" s="1"/>
      <c r="R84" s="1"/>
    </row>
    <row r="85" spans="2:18" ht="12.75" customHeight="1" x14ac:dyDescent="0.25">
      <c r="B85" s="410" t="s">
        <v>8</v>
      </c>
      <c r="C85" s="432" t="s">
        <v>101</v>
      </c>
      <c r="D85" s="433"/>
      <c r="E85" s="433"/>
      <c r="F85" s="433"/>
      <c r="G85" s="433"/>
      <c r="H85" s="434"/>
      <c r="I85" s="415">
        <f>J85/$J$27</f>
        <v>6.0000000000000001E-3</v>
      </c>
      <c r="J85" s="417">
        <f>ROUND(J83*$I$61,2)</f>
        <v>7.82</v>
      </c>
      <c r="K85" s="217" t="s">
        <v>198</v>
      </c>
      <c r="O85" s="28"/>
      <c r="Q85" s="1"/>
      <c r="R85" s="1"/>
    </row>
    <row r="86" spans="2:18" x14ac:dyDescent="0.25">
      <c r="B86" s="411"/>
      <c r="C86" s="435" t="s">
        <v>198</v>
      </c>
      <c r="D86" s="436"/>
      <c r="E86" s="436"/>
      <c r="F86" s="436"/>
      <c r="G86" s="436"/>
      <c r="H86" s="437"/>
      <c r="I86" s="416"/>
      <c r="J86" s="418"/>
      <c r="Q86" s="1"/>
      <c r="R86" s="1"/>
    </row>
    <row r="87" spans="2:18" ht="17.25" customHeight="1" x14ac:dyDescent="0.25">
      <c r="B87" s="410" t="s">
        <v>10</v>
      </c>
      <c r="C87" s="412" t="s">
        <v>102</v>
      </c>
      <c r="D87" s="413"/>
      <c r="E87" s="413"/>
      <c r="F87" s="413"/>
      <c r="G87" s="413"/>
      <c r="H87" s="414"/>
      <c r="I87" s="415">
        <f>J87/$J$27</f>
        <v>0.05</v>
      </c>
      <c r="J87" s="417">
        <f>ROUND((($J$27)* 5%),2)</f>
        <v>64.89</v>
      </c>
      <c r="K87" s="217" t="s">
        <v>103</v>
      </c>
      <c r="Q87" s="1"/>
      <c r="R87" s="1"/>
    </row>
    <row r="88" spans="2:18" x14ac:dyDescent="0.25">
      <c r="B88" s="411"/>
      <c r="C88" s="438" t="s">
        <v>104</v>
      </c>
      <c r="D88" s="439"/>
      <c r="E88" s="439"/>
      <c r="F88" s="439"/>
      <c r="G88" s="439"/>
      <c r="H88" s="440"/>
      <c r="I88" s="416"/>
      <c r="J88" s="418"/>
      <c r="Q88" s="1"/>
      <c r="R88" s="1"/>
    </row>
    <row r="89" spans="2:18" x14ac:dyDescent="0.25">
      <c r="B89" s="229"/>
      <c r="C89" s="404" t="s">
        <v>75</v>
      </c>
      <c r="D89" s="405"/>
      <c r="E89" s="405"/>
      <c r="F89" s="405"/>
      <c r="G89" s="405"/>
      <c r="H89" s="406"/>
      <c r="I89" s="153">
        <f>SUM(G79:I87)</f>
        <v>7.9899999999999999E-2</v>
      </c>
      <c r="J89" s="141">
        <f>SUM(J79:J87)</f>
        <v>103.79</v>
      </c>
      <c r="K89" s="9"/>
      <c r="Q89" s="1"/>
      <c r="R89" s="1"/>
    </row>
    <row r="90" spans="2:18" x14ac:dyDescent="0.25">
      <c r="B90" s="407" t="s">
        <v>105</v>
      </c>
      <c r="C90" s="407"/>
      <c r="D90" s="407"/>
      <c r="E90" s="407"/>
      <c r="F90" s="407"/>
      <c r="G90" s="407"/>
      <c r="H90" s="407"/>
      <c r="I90" s="407"/>
      <c r="J90" s="407"/>
      <c r="K90" s="7"/>
      <c r="Q90" s="1"/>
      <c r="R90" s="1"/>
    </row>
    <row r="91" spans="2:18" ht="21" customHeight="1" x14ac:dyDescent="0.25">
      <c r="B91" s="229" t="s">
        <v>106</v>
      </c>
      <c r="C91" s="400" t="s">
        <v>107</v>
      </c>
      <c r="D91" s="401"/>
      <c r="E91" s="401"/>
      <c r="F91" s="401"/>
      <c r="G91" s="401"/>
      <c r="H91" s="402"/>
      <c r="I91" s="229" t="s">
        <v>50</v>
      </c>
      <c r="J91" s="138" t="s">
        <v>24</v>
      </c>
      <c r="K91" s="5"/>
      <c r="Q91" s="1"/>
      <c r="R91" s="1"/>
    </row>
    <row r="92" spans="2:18" x14ac:dyDescent="0.25">
      <c r="B92" s="410" t="s">
        <v>3</v>
      </c>
      <c r="C92" s="422" t="s">
        <v>108</v>
      </c>
      <c r="D92" s="423"/>
      <c r="E92" s="423"/>
      <c r="F92" s="423"/>
      <c r="G92" s="423"/>
      <c r="H92" s="424"/>
      <c r="I92" s="415">
        <v>0.121</v>
      </c>
      <c r="J92" s="417">
        <f>ROUND(($J$27*I92),2)</f>
        <v>157.04</v>
      </c>
      <c r="K92" s="425" t="s">
        <v>109</v>
      </c>
      <c r="L92" s="425"/>
      <c r="M92" s="425"/>
      <c r="N92" s="425"/>
      <c r="O92" s="425"/>
      <c r="P92" s="425"/>
      <c r="Q92" s="1"/>
      <c r="R92" s="1"/>
    </row>
    <row r="93" spans="2:18" x14ac:dyDescent="0.25">
      <c r="B93" s="411"/>
      <c r="C93" s="422" t="s">
        <v>109</v>
      </c>
      <c r="D93" s="423"/>
      <c r="E93" s="423"/>
      <c r="F93" s="423"/>
      <c r="G93" s="423"/>
      <c r="H93" s="424"/>
      <c r="I93" s="416"/>
      <c r="J93" s="418"/>
      <c r="L93" s="217"/>
      <c r="M93" s="217"/>
      <c r="N93" s="217"/>
      <c r="O93" s="217"/>
      <c r="P93" s="29"/>
      <c r="Q93" s="30"/>
      <c r="R93" s="1"/>
    </row>
    <row r="94" spans="2:18" x14ac:dyDescent="0.25">
      <c r="B94" s="410" t="s">
        <v>5</v>
      </c>
      <c r="C94" s="426" t="s">
        <v>110</v>
      </c>
      <c r="D94" s="427"/>
      <c r="E94" s="427"/>
      <c r="F94" s="427"/>
      <c r="G94" s="427"/>
      <c r="H94" s="428"/>
      <c r="I94" s="415">
        <f>+J94/$J$27</f>
        <v>1.3899999999999999E-2</v>
      </c>
      <c r="J94" s="417">
        <f>ROUND( (($J$27 / 30) * 5) /12,2)</f>
        <v>18.03</v>
      </c>
      <c r="K94" s="425" t="s">
        <v>111</v>
      </c>
      <c r="L94" s="425"/>
      <c r="M94" s="425"/>
      <c r="N94" s="425"/>
      <c r="O94" s="425"/>
      <c r="P94" s="425"/>
      <c r="Q94" s="31"/>
      <c r="R94" s="1"/>
    </row>
    <row r="95" spans="2:18" x14ac:dyDescent="0.25">
      <c r="B95" s="411"/>
      <c r="C95" s="429" t="s">
        <v>111</v>
      </c>
      <c r="D95" s="430"/>
      <c r="E95" s="430"/>
      <c r="F95" s="430"/>
      <c r="G95" s="430"/>
      <c r="H95" s="431"/>
      <c r="I95" s="416"/>
      <c r="J95" s="418"/>
      <c r="L95" s="217"/>
      <c r="M95" s="217"/>
      <c r="N95" s="217"/>
      <c r="O95" s="217"/>
      <c r="P95" s="217"/>
      <c r="Q95" s="1"/>
      <c r="R95" s="1"/>
    </row>
    <row r="96" spans="2:18" x14ac:dyDescent="0.25">
      <c r="B96" s="410" t="s">
        <v>6</v>
      </c>
      <c r="C96" s="422" t="s">
        <v>112</v>
      </c>
      <c r="D96" s="423"/>
      <c r="E96" s="423"/>
      <c r="F96" s="423"/>
      <c r="G96" s="423"/>
      <c r="H96" s="424"/>
      <c r="I96" s="415">
        <f>+J96/$J$27</f>
        <v>2.0000000000000001E-4</v>
      </c>
      <c r="J96" s="417">
        <f>ROUND( ((($J$27 / 30) * 5) /12) * 1.5%,2)</f>
        <v>0.27</v>
      </c>
      <c r="K96" s="425" t="s">
        <v>113</v>
      </c>
      <c r="L96" s="425"/>
      <c r="M96" s="425"/>
      <c r="N96" s="425"/>
      <c r="O96" s="425"/>
      <c r="P96" s="425"/>
      <c r="Q96" s="1"/>
      <c r="R96" s="1"/>
    </row>
    <row r="97" spans="2:18" x14ac:dyDescent="0.25">
      <c r="B97" s="411"/>
      <c r="C97" s="422" t="s">
        <v>113</v>
      </c>
      <c r="D97" s="423"/>
      <c r="E97" s="423"/>
      <c r="F97" s="423"/>
      <c r="G97" s="423"/>
      <c r="H97" s="424"/>
      <c r="I97" s="416"/>
      <c r="J97" s="418"/>
      <c r="L97" s="217"/>
      <c r="M97" s="217"/>
      <c r="N97" s="217"/>
      <c r="O97" s="217"/>
      <c r="P97" s="217"/>
      <c r="Q97" s="1"/>
      <c r="R97" s="1"/>
    </row>
    <row r="98" spans="2:18" x14ac:dyDescent="0.25">
      <c r="B98" s="410" t="s">
        <v>8</v>
      </c>
      <c r="C98" s="426" t="s">
        <v>114</v>
      </c>
      <c r="D98" s="427"/>
      <c r="E98" s="427"/>
      <c r="F98" s="427"/>
      <c r="G98" s="427"/>
      <c r="H98" s="428"/>
      <c r="I98" s="415">
        <f>+J98/$J$27</f>
        <v>8.2000000000000007E-3</v>
      </c>
      <c r="J98" s="417">
        <f>ROUND((($J$27 / 30) * 2.96) /12,2)</f>
        <v>10.67</v>
      </c>
      <c r="K98" s="425" t="s">
        <v>115</v>
      </c>
      <c r="L98" s="425"/>
      <c r="M98" s="425"/>
      <c r="N98" s="425"/>
      <c r="O98" s="425"/>
      <c r="P98" s="425"/>
      <c r="Q98" s="1"/>
      <c r="R98" s="1"/>
    </row>
    <row r="99" spans="2:18" x14ac:dyDescent="0.25">
      <c r="B99" s="411"/>
      <c r="C99" s="429" t="s">
        <v>115</v>
      </c>
      <c r="D99" s="430"/>
      <c r="E99" s="430"/>
      <c r="F99" s="430"/>
      <c r="G99" s="430"/>
      <c r="H99" s="431"/>
      <c r="I99" s="416"/>
      <c r="J99" s="418"/>
      <c r="L99" s="217"/>
      <c r="M99" s="217"/>
      <c r="N99" s="217"/>
      <c r="O99" s="217"/>
      <c r="P99" s="217"/>
      <c r="Q99" s="1"/>
      <c r="R99" s="1"/>
    </row>
    <row r="100" spans="2:18" x14ac:dyDescent="0.25">
      <c r="B100" s="410" t="s">
        <v>10</v>
      </c>
      <c r="C100" s="422" t="s">
        <v>116</v>
      </c>
      <c r="D100" s="423"/>
      <c r="E100" s="423"/>
      <c r="F100" s="423"/>
      <c r="G100" s="423"/>
      <c r="H100" s="424"/>
      <c r="I100" s="415">
        <f>+J100/$J$27</f>
        <v>2.9999999999999997E-4</v>
      </c>
      <c r="J100" s="417">
        <f>ROUND(((($J$27 / 30) *15) /12) * 0.78%,2)</f>
        <v>0.42</v>
      </c>
      <c r="K100" s="425" t="s">
        <v>117</v>
      </c>
      <c r="L100" s="425"/>
      <c r="M100" s="425"/>
      <c r="N100" s="425"/>
      <c r="O100" s="425"/>
      <c r="P100" s="425"/>
      <c r="Q100" s="1"/>
      <c r="R100" s="1"/>
    </row>
    <row r="101" spans="2:18" x14ac:dyDescent="0.25">
      <c r="B101" s="411"/>
      <c r="C101" s="422" t="s">
        <v>117</v>
      </c>
      <c r="D101" s="423"/>
      <c r="E101" s="423"/>
      <c r="F101" s="423"/>
      <c r="G101" s="423"/>
      <c r="H101" s="424"/>
      <c r="I101" s="416"/>
      <c r="J101" s="418"/>
      <c r="L101" s="217"/>
      <c r="M101" s="217"/>
      <c r="N101" s="217"/>
      <c r="O101" s="217"/>
      <c r="P101" s="217"/>
      <c r="Q101" s="1"/>
      <c r="R101" s="1"/>
    </row>
    <row r="102" spans="2:18" x14ac:dyDescent="0.25">
      <c r="B102" s="156"/>
      <c r="C102" s="409" t="s">
        <v>81</v>
      </c>
      <c r="D102" s="409"/>
      <c r="E102" s="409"/>
      <c r="F102" s="409"/>
      <c r="G102" s="409"/>
      <c r="H102" s="409"/>
      <c r="I102" s="157">
        <f>SUM(I92:I101)</f>
        <v>0.14360000000000001</v>
      </c>
      <c r="J102" s="155">
        <f>SUM(J92:J101)</f>
        <v>186.43</v>
      </c>
      <c r="K102" s="10"/>
      <c r="Q102" s="1"/>
      <c r="R102" s="1"/>
    </row>
    <row r="103" spans="2:18" ht="12.75" customHeight="1" x14ac:dyDescent="0.25">
      <c r="B103" s="410" t="s">
        <v>26</v>
      </c>
      <c r="C103" s="412" t="s">
        <v>118</v>
      </c>
      <c r="D103" s="413"/>
      <c r="E103" s="413"/>
      <c r="F103" s="413"/>
      <c r="G103" s="413"/>
      <c r="H103" s="414"/>
      <c r="I103" s="415">
        <f>J103/$J$27</f>
        <v>4.4499999999999998E-2</v>
      </c>
      <c r="J103" s="417">
        <f>ROUND(J102*$I$61,2)</f>
        <v>57.79</v>
      </c>
      <c r="K103" s="217" t="s">
        <v>199</v>
      </c>
      <c r="Q103" s="1"/>
      <c r="R103" s="1"/>
    </row>
    <row r="104" spans="2:18" x14ac:dyDescent="0.25">
      <c r="B104" s="411"/>
      <c r="C104" s="419" t="s">
        <v>199</v>
      </c>
      <c r="D104" s="420"/>
      <c r="E104" s="420"/>
      <c r="F104" s="420"/>
      <c r="G104" s="420"/>
      <c r="H104" s="421"/>
      <c r="I104" s="416"/>
      <c r="J104" s="418"/>
      <c r="Q104" s="1"/>
      <c r="R104" s="1"/>
    </row>
    <row r="105" spans="2:18" x14ac:dyDescent="0.25">
      <c r="B105" s="229"/>
      <c r="C105" s="404" t="s">
        <v>75</v>
      </c>
      <c r="D105" s="405"/>
      <c r="E105" s="405"/>
      <c r="F105" s="405"/>
      <c r="G105" s="405"/>
      <c r="H105" s="406"/>
      <c r="I105" s="158">
        <f>SUM(I102:I104)</f>
        <v>0.18809999999999999</v>
      </c>
      <c r="J105" s="141">
        <f>SUM(J102:J103)</f>
        <v>244.22</v>
      </c>
      <c r="Q105" s="1"/>
      <c r="R105" s="1"/>
    </row>
    <row r="106" spans="2:18" x14ac:dyDescent="0.25">
      <c r="B106" s="407" t="s">
        <v>119</v>
      </c>
      <c r="C106" s="407"/>
      <c r="D106" s="407"/>
      <c r="E106" s="407"/>
      <c r="F106" s="407"/>
      <c r="G106" s="407"/>
      <c r="H106" s="407"/>
      <c r="I106" s="407"/>
      <c r="J106" s="407"/>
      <c r="L106" s="11"/>
      <c r="Q106" s="1"/>
      <c r="R106" s="1"/>
    </row>
    <row r="107" spans="2:18" ht="21" customHeight="1" x14ac:dyDescent="0.25">
      <c r="B107" s="229">
        <v>4</v>
      </c>
      <c r="C107" s="408" t="s">
        <v>120</v>
      </c>
      <c r="D107" s="408"/>
      <c r="E107" s="408"/>
      <c r="F107" s="408"/>
      <c r="G107" s="408"/>
      <c r="H107" s="408"/>
      <c r="I107" s="215" t="s">
        <v>50</v>
      </c>
      <c r="J107" s="138" t="s">
        <v>24</v>
      </c>
      <c r="K107" s="12"/>
      <c r="L107" s="13"/>
      <c r="Q107" s="1"/>
      <c r="R107" s="1"/>
    </row>
    <row r="108" spans="2:18" ht="19.5" customHeight="1" x14ac:dyDescent="0.25">
      <c r="B108" s="137" t="s">
        <v>48</v>
      </c>
      <c r="C108" s="403" t="s">
        <v>49</v>
      </c>
      <c r="D108" s="403"/>
      <c r="E108" s="403"/>
      <c r="F108" s="403"/>
      <c r="G108" s="403"/>
      <c r="H108" s="403"/>
      <c r="I108" s="159">
        <f>+I61</f>
        <v>0.31</v>
      </c>
      <c r="J108" s="140">
        <f>+J61</f>
        <v>402.34</v>
      </c>
      <c r="K108" s="12"/>
      <c r="L108" s="13"/>
      <c r="Q108" s="1"/>
      <c r="R108" s="1"/>
    </row>
    <row r="109" spans="2:18" ht="19.5" customHeight="1" x14ac:dyDescent="0.25">
      <c r="B109" s="137" t="s">
        <v>77</v>
      </c>
      <c r="C109" s="403" t="s">
        <v>121</v>
      </c>
      <c r="D109" s="403"/>
      <c r="E109" s="403"/>
      <c r="F109" s="403"/>
      <c r="G109" s="403"/>
      <c r="H109" s="403"/>
      <c r="I109" s="159">
        <f>+I69</f>
        <v>0.1111</v>
      </c>
      <c r="J109" s="140">
        <f>+J69</f>
        <v>141.69</v>
      </c>
      <c r="K109" s="12"/>
      <c r="L109" s="13"/>
      <c r="M109" s="1"/>
      <c r="N109" s="1"/>
      <c r="O109" s="1"/>
      <c r="P109" s="1"/>
      <c r="Q109" s="1"/>
      <c r="R109" s="1"/>
    </row>
    <row r="110" spans="2:18" ht="21" customHeight="1" x14ac:dyDescent="0.25">
      <c r="B110" s="137" t="s">
        <v>86</v>
      </c>
      <c r="C110" s="403" t="s">
        <v>88</v>
      </c>
      <c r="D110" s="403"/>
      <c r="E110" s="403"/>
      <c r="F110" s="403"/>
      <c r="G110" s="403"/>
      <c r="H110" s="403"/>
      <c r="I110" s="159">
        <f>+I76</f>
        <v>8.9999999999999998E-4</v>
      </c>
      <c r="J110" s="140">
        <f>+J76</f>
        <v>1.26</v>
      </c>
      <c r="K110" s="14"/>
      <c r="L110" s="13"/>
      <c r="M110" s="1"/>
      <c r="N110" s="1"/>
      <c r="O110" s="1"/>
      <c r="P110" s="1"/>
      <c r="Q110" s="1"/>
      <c r="R110" s="1"/>
    </row>
    <row r="111" spans="2:18" ht="21" customHeight="1" x14ac:dyDescent="0.25">
      <c r="B111" s="137" t="s">
        <v>92</v>
      </c>
      <c r="C111" s="403" t="s">
        <v>93</v>
      </c>
      <c r="D111" s="403"/>
      <c r="E111" s="403"/>
      <c r="F111" s="403"/>
      <c r="G111" s="403"/>
      <c r="H111" s="403"/>
      <c r="I111" s="159">
        <f>+I89</f>
        <v>7.9899999999999999E-2</v>
      </c>
      <c r="J111" s="140">
        <f>+J89</f>
        <v>103.79</v>
      </c>
      <c r="K111" s="12"/>
      <c r="M111" s="1"/>
      <c r="N111" s="1"/>
      <c r="O111" s="1"/>
      <c r="P111" s="1"/>
      <c r="Q111" s="1"/>
      <c r="R111" s="1"/>
    </row>
    <row r="112" spans="2:18" ht="21" customHeight="1" x14ac:dyDescent="0.25">
      <c r="B112" s="137" t="s">
        <v>106</v>
      </c>
      <c r="C112" s="403" t="s">
        <v>107</v>
      </c>
      <c r="D112" s="403"/>
      <c r="E112" s="403"/>
      <c r="F112" s="403"/>
      <c r="G112" s="403"/>
      <c r="H112" s="403"/>
      <c r="I112" s="159">
        <f>+I105</f>
        <v>0.18809999999999999</v>
      </c>
      <c r="J112" s="140">
        <f>+J105</f>
        <v>244.22</v>
      </c>
      <c r="K112" s="12"/>
      <c r="L112" s="13"/>
      <c r="M112" s="1"/>
      <c r="N112" s="1"/>
      <c r="O112" s="1"/>
      <c r="P112" s="1"/>
      <c r="Q112" s="1"/>
      <c r="R112" s="1"/>
    </row>
    <row r="113" spans="2:18" x14ac:dyDescent="0.25">
      <c r="B113" s="229"/>
      <c r="C113" s="398" t="s">
        <v>75</v>
      </c>
      <c r="D113" s="398"/>
      <c r="E113" s="398"/>
      <c r="F113" s="398"/>
      <c r="G113" s="398"/>
      <c r="H113" s="398"/>
      <c r="I113" s="160">
        <f>SUM(I108:I112)</f>
        <v>0.69</v>
      </c>
      <c r="J113" s="141">
        <f>SUM(J108:J112)</f>
        <v>893.3</v>
      </c>
      <c r="L113" s="33"/>
      <c r="M113" s="1"/>
      <c r="N113" s="1"/>
      <c r="O113" s="1"/>
      <c r="P113" s="1"/>
      <c r="Q113" s="1"/>
      <c r="R113" s="1"/>
    </row>
    <row r="114" spans="2:18" x14ac:dyDescent="0.25">
      <c r="B114" s="399" t="s">
        <v>122</v>
      </c>
      <c r="C114" s="399"/>
      <c r="D114" s="399"/>
      <c r="E114" s="399"/>
      <c r="F114" s="399"/>
      <c r="G114" s="399"/>
      <c r="H114" s="399"/>
      <c r="I114" s="399"/>
      <c r="J114" s="399"/>
      <c r="L114" s="33"/>
      <c r="M114" s="1"/>
      <c r="N114" s="1"/>
      <c r="O114" s="1"/>
      <c r="P114" s="1"/>
      <c r="Q114" s="1"/>
      <c r="R114" s="1"/>
    </row>
    <row r="115" spans="2:18" x14ac:dyDescent="0.25">
      <c r="B115" s="229">
        <v>5</v>
      </c>
      <c r="C115" s="398" t="s">
        <v>123</v>
      </c>
      <c r="D115" s="398"/>
      <c r="E115" s="398"/>
      <c r="F115" s="398"/>
      <c r="G115" s="398"/>
      <c r="H115" s="398"/>
      <c r="I115" s="215" t="s">
        <v>50</v>
      </c>
      <c r="J115" s="138" t="s">
        <v>24</v>
      </c>
      <c r="K115" s="15" t="s">
        <v>124</v>
      </c>
      <c r="L115" s="33"/>
      <c r="M115" s="30"/>
      <c r="N115" s="1"/>
      <c r="O115" s="1"/>
      <c r="P115" s="1"/>
      <c r="Q115" s="1"/>
      <c r="R115" s="1"/>
    </row>
    <row r="116" spans="2:18" x14ac:dyDescent="0.25">
      <c r="B116" s="137" t="s">
        <v>3</v>
      </c>
      <c r="C116" s="403" t="s">
        <v>125</v>
      </c>
      <c r="D116" s="403"/>
      <c r="E116" s="403"/>
      <c r="F116" s="403"/>
      <c r="G116" s="403"/>
      <c r="H116" s="403"/>
      <c r="I116" s="161">
        <v>7.0000000000000007E-2</v>
      </c>
      <c r="J116" s="140">
        <f>ROUND((J27+J38+J46+J113)*I116,2)</f>
        <v>210.93</v>
      </c>
      <c r="K116" s="16">
        <f>(J27+J38+J46+J113)</f>
        <v>3013.33</v>
      </c>
      <c r="L116" s="34"/>
      <c r="M116" s="30"/>
      <c r="N116" s="1"/>
      <c r="O116" s="1"/>
      <c r="P116" s="1"/>
      <c r="Q116" s="1"/>
      <c r="R116" s="1"/>
    </row>
    <row r="117" spans="2:18" x14ac:dyDescent="0.25">
      <c r="B117" s="137" t="s">
        <v>5</v>
      </c>
      <c r="C117" s="396" t="s">
        <v>126</v>
      </c>
      <c r="D117" s="396"/>
      <c r="E117" s="396"/>
      <c r="F117" s="396"/>
      <c r="G117" s="396"/>
      <c r="H117" s="396"/>
      <c r="I117" s="159"/>
      <c r="J117" s="140"/>
      <c r="K117" s="17"/>
      <c r="L117" s="33"/>
      <c r="M117" s="1"/>
      <c r="N117" s="1"/>
      <c r="O117" s="1"/>
      <c r="P117" s="1"/>
      <c r="Q117" s="1"/>
      <c r="R117" s="1"/>
    </row>
    <row r="118" spans="2:18" x14ac:dyDescent="0.25">
      <c r="B118" s="137"/>
      <c r="C118" s="396" t="s">
        <v>357</v>
      </c>
      <c r="D118" s="396"/>
      <c r="E118" s="396"/>
      <c r="F118" s="396"/>
      <c r="G118" s="396"/>
      <c r="H118" s="396"/>
      <c r="I118" s="162">
        <f>IF($J$11="simples",0.4%,IF($J$11="lucro presumido",0.65%,1.65%))</f>
        <v>4.0000000000000001E-3</v>
      </c>
      <c r="J118" s="140">
        <f>ROUND($K$119*I118,2)</f>
        <v>14.81</v>
      </c>
      <c r="K118" s="15" t="s">
        <v>127</v>
      </c>
      <c r="L118" s="33"/>
      <c r="M118" s="30"/>
      <c r="N118" s="1"/>
      <c r="O118" s="1"/>
      <c r="P118" s="1"/>
      <c r="Q118" s="1"/>
      <c r="R118" s="1"/>
    </row>
    <row r="119" spans="2:18" x14ac:dyDescent="0.25">
      <c r="B119" s="137"/>
      <c r="C119" s="396" t="s">
        <v>358</v>
      </c>
      <c r="D119" s="396"/>
      <c r="E119" s="396"/>
      <c r="F119" s="396"/>
      <c r="G119" s="396"/>
      <c r="H119" s="396"/>
      <c r="I119" s="162">
        <f>IF($J$11="simples",2.27%,IF($J$11="lucro presumido",3%,7.6%))</f>
        <v>2.2700000000000001E-2</v>
      </c>
      <c r="J119" s="140">
        <f>ROUND($K$119*I119,2)</f>
        <v>84.03</v>
      </c>
      <c r="K119" s="16">
        <f>ROUND(((K116+J116+J122)/(1-I121)),2)</f>
        <v>3701.64</v>
      </c>
      <c r="L119" s="34"/>
      <c r="M119" s="19"/>
      <c r="N119" s="1"/>
      <c r="O119" s="1"/>
      <c r="P119" s="1"/>
      <c r="Q119" s="1"/>
      <c r="R119" s="1"/>
    </row>
    <row r="120" spans="2:18" x14ac:dyDescent="0.25">
      <c r="B120" s="137"/>
      <c r="C120" s="396" t="s">
        <v>359</v>
      </c>
      <c r="D120" s="396"/>
      <c r="E120" s="396"/>
      <c r="F120" s="396"/>
      <c r="G120" s="396"/>
      <c r="H120" s="396"/>
      <c r="I120" s="162">
        <f>IF($J$11="simples",5%,IF($J$11="lucro presumido",5%,2.5%))</f>
        <v>0.05</v>
      </c>
      <c r="J120" s="140">
        <f>ROUND($K$119*I120,2)</f>
        <v>185.08</v>
      </c>
      <c r="K120" s="18"/>
      <c r="L120" s="33"/>
      <c r="M120" s="30"/>
      <c r="N120" s="32"/>
      <c r="O120" s="1"/>
      <c r="P120" s="1"/>
      <c r="Q120" s="1"/>
      <c r="R120" s="1"/>
    </row>
    <row r="121" spans="2:18" x14ac:dyDescent="0.25">
      <c r="B121" s="229"/>
      <c r="C121" s="398" t="s">
        <v>128</v>
      </c>
      <c r="D121" s="398"/>
      <c r="E121" s="398"/>
      <c r="F121" s="398"/>
      <c r="G121" s="398"/>
      <c r="H121" s="398"/>
      <c r="I121" s="160">
        <f>SUM(I118:I120)</f>
        <v>7.6700000000000004E-2</v>
      </c>
      <c r="J121" s="141">
        <f>SUM(J118:J120)</f>
        <v>283.92</v>
      </c>
      <c r="K121" s="15" t="s">
        <v>129</v>
      </c>
      <c r="L121" s="33"/>
      <c r="M121" s="1"/>
      <c r="N121" s="30"/>
      <c r="O121" s="1"/>
      <c r="P121" s="1"/>
      <c r="Q121" s="1"/>
      <c r="R121" s="1"/>
    </row>
    <row r="122" spans="2:18" x14ac:dyDescent="0.25">
      <c r="B122" s="137" t="s">
        <v>6</v>
      </c>
      <c r="C122" s="396" t="s">
        <v>130</v>
      </c>
      <c r="D122" s="396"/>
      <c r="E122" s="396"/>
      <c r="F122" s="396"/>
      <c r="G122" s="396"/>
      <c r="H122" s="396"/>
      <c r="I122" s="161">
        <v>0.06</v>
      </c>
      <c r="J122" s="140">
        <f>ROUND(K122*I122,2)</f>
        <v>193.46</v>
      </c>
      <c r="K122" s="16">
        <f>(+K116+J116)</f>
        <v>3224.26</v>
      </c>
      <c r="L122" s="34"/>
      <c r="M122" s="30"/>
      <c r="N122" s="1"/>
      <c r="O122" s="1"/>
      <c r="P122" s="1"/>
      <c r="Q122" s="1"/>
      <c r="R122" s="1"/>
    </row>
    <row r="123" spans="2:18" x14ac:dyDescent="0.25">
      <c r="B123" s="229"/>
      <c r="C123" s="398" t="s">
        <v>75</v>
      </c>
      <c r="D123" s="398"/>
      <c r="E123" s="398"/>
      <c r="F123" s="398"/>
      <c r="G123" s="398"/>
      <c r="H123" s="398"/>
      <c r="I123" s="160">
        <f>+I116+I121+I122</f>
        <v>0.20669999999999999</v>
      </c>
      <c r="J123" s="141">
        <f>ROUND(J116+J121+J122,2)</f>
        <v>688.31</v>
      </c>
      <c r="L123" s="33"/>
      <c r="M123" s="30"/>
      <c r="N123" s="1"/>
      <c r="O123" s="1"/>
      <c r="P123" s="1"/>
      <c r="Q123" s="1"/>
      <c r="R123" s="1"/>
    </row>
    <row r="124" spans="2:18" x14ac:dyDescent="0.25">
      <c r="B124" s="399" t="s">
        <v>131</v>
      </c>
      <c r="C124" s="399"/>
      <c r="D124" s="399"/>
      <c r="E124" s="399"/>
      <c r="F124" s="399"/>
      <c r="G124" s="399"/>
      <c r="H124" s="399"/>
      <c r="I124" s="399"/>
      <c r="J124" s="399"/>
      <c r="L124" s="33"/>
      <c r="M124" s="1"/>
      <c r="N124" s="1"/>
      <c r="O124" s="1"/>
      <c r="P124" s="1"/>
      <c r="Q124" s="1"/>
      <c r="R124" s="1"/>
    </row>
    <row r="125" spans="2:18" ht="36.75" customHeight="1" x14ac:dyDescent="0.25">
      <c r="B125" s="229"/>
      <c r="C125" s="400" t="s">
        <v>132</v>
      </c>
      <c r="D125" s="401"/>
      <c r="E125" s="401"/>
      <c r="F125" s="401"/>
      <c r="G125" s="401"/>
      <c r="H125" s="401"/>
      <c r="I125" s="402"/>
      <c r="J125" s="138" t="s">
        <v>24</v>
      </c>
      <c r="M125" s="1"/>
      <c r="N125" s="1"/>
      <c r="O125" s="1"/>
      <c r="P125" s="1"/>
      <c r="Q125" s="1"/>
      <c r="R125" s="1"/>
    </row>
    <row r="126" spans="2:18" ht="19.5" customHeight="1" x14ac:dyDescent="0.25">
      <c r="B126" s="137" t="s">
        <v>3</v>
      </c>
      <c r="C126" s="403" t="s">
        <v>22</v>
      </c>
      <c r="D126" s="403"/>
      <c r="E126" s="403"/>
      <c r="F126" s="403"/>
      <c r="G126" s="403"/>
      <c r="H126" s="403"/>
      <c r="I126" s="403"/>
      <c r="J126" s="163">
        <f>+J27</f>
        <v>1297.8699999999999</v>
      </c>
      <c r="M126" s="1"/>
      <c r="N126" s="1"/>
      <c r="O126" s="1"/>
      <c r="P126" s="1"/>
      <c r="Q126" s="1"/>
      <c r="R126" s="1"/>
    </row>
    <row r="127" spans="2:18" x14ac:dyDescent="0.25">
      <c r="B127" s="137" t="s">
        <v>5</v>
      </c>
      <c r="C127" s="396" t="s">
        <v>30</v>
      </c>
      <c r="D127" s="396"/>
      <c r="E127" s="396"/>
      <c r="F127" s="396"/>
      <c r="G127" s="396"/>
      <c r="H127" s="396"/>
      <c r="I127" s="396"/>
      <c r="J127" s="163">
        <f>+J38</f>
        <v>464.9</v>
      </c>
      <c r="M127" s="1"/>
      <c r="N127" s="1"/>
      <c r="O127" s="1"/>
      <c r="P127" s="1"/>
      <c r="Q127" s="1"/>
      <c r="R127" s="1"/>
    </row>
    <row r="128" spans="2:18" x14ac:dyDescent="0.25">
      <c r="B128" s="137" t="s">
        <v>6</v>
      </c>
      <c r="C128" s="396" t="s">
        <v>41</v>
      </c>
      <c r="D128" s="396"/>
      <c r="E128" s="396"/>
      <c r="F128" s="396"/>
      <c r="G128" s="396"/>
      <c r="H128" s="396"/>
      <c r="I128" s="396"/>
      <c r="J128" s="163">
        <f>+J46</f>
        <v>357.26</v>
      </c>
      <c r="M128" s="1"/>
      <c r="N128" s="1"/>
      <c r="O128" s="1"/>
      <c r="P128" s="1"/>
      <c r="Q128" s="1"/>
      <c r="R128" s="1"/>
    </row>
    <row r="129" spans="2:18" x14ac:dyDescent="0.25">
      <c r="B129" s="137" t="s">
        <v>8</v>
      </c>
      <c r="C129" s="396" t="s">
        <v>46</v>
      </c>
      <c r="D129" s="396"/>
      <c r="E129" s="396"/>
      <c r="F129" s="396"/>
      <c r="G129" s="396"/>
      <c r="H129" s="396"/>
      <c r="I129" s="396"/>
      <c r="J129" s="163">
        <f>+J113</f>
        <v>893.3</v>
      </c>
      <c r="M129" s="1"/>
      <c r="N129" s="1"/>
      <c r="O129" s="1"/>
      <c r="P129" s="1"/>
      <c r="Q129" s="1"/>
      <c r="R129" s="1"/>
    </row>
    <row r="130" spans="2:18" x14ac:dyDescent="0.25">
      <c r="B130" s="137"/>
      <c r="C130" s="397" t="s">
        <v>133</v>
      </c>
      <c r="D130" s="397"/>
      <c r="E130" s="397"/>
      <c r="F130" s="397"/>
      <c r="G130" s="397"/>
      <c r="H130" s="397"/>
      <c r="I130" s="397"/>
      <c r="J130" s="164">
        <f>SUM(J126:J129)</f>
        <v>3013.33</v>
      </c>
      <c r="M130" s="1"/>
      <c r="N130" s="1"/>
      <c r="O130" s="1"/>
      <c r="P130" s="1"/>
      <c r="Q130" s="1"/>
      <c r="R130" s="1"/>
    </row>
    <row r="131" spans="2:18" x14ac:dyDescent="0.25">
      <c r="B131" s="137" t="s">
        <v>10</v>
      </c>
      <c r="C131" s="396" t="s">
        <v>122</v>
      </c>
      <c r="D131" s="396"/>
      <c r="E131" s="396"/>
      <c r="F131" s="396"/>
      <c r="G131" s="396"/>
      <c r="H131" s="396"/>
      <c r="I131" s="396"/>
      <c r="J131" s="163">
        <f>+J123</f>
        <v>688.31</v>
      </c>
      <c r="M131" s="1"/>
      <c r="N131" s="1"/>
      <c r="O131" s="1"/>
      <c r="P131" s="1"/>
      <c r="Q131" s="1"/>
      <c r="R131" s="1"/>
    </row>
    <row r="132" spans="2:18" x14ac:dyDescent="0.25">
      <c r="B132" s="229"/>
      <c r="C132" s="398" t="s">
        <v>134</v>
      </c>
      <c r="D132" s="398"/>
      <c r="E132" s="398"/>
      <c r="F132" s="398"/>
      <c r="G132" s="398"/>
      <c r="H132" s="398"/>
      <c r="I132" s="398"/>
      <c r="J132" s="165">
        <f>SUM(J130:J131)</f>
        <v>3701.64</v>
      </c>
      <c r="M132" s="1"/>
      <c r="N132" s="1"/>
      <c r="O132" s="1"/>
      <c r="P132" s="1"/>
      <c r="Q132" s="1"/>
      <c r="R132" s="1"/>
    </row>
    <row r="133" spans="2:18" x14ac:dyDescent="0.25">
      <c r="K133" s="217" t="e">
        <f ca="1">[1]!VExtensoFree(J133)</f>
        <v>#NAME?</v>
      </c>
    </row>
    <row r="140" spans="2:18" x14ac:dyDescent="0.25">
      <c r="B140" s="167"/>
      <c r="F140" s="167"/>
      <c r="G140" s="167"/>
      <c r="H140" s="167"/>
      <c r="I140" s="167"/>
      <c r="J140" s="167"/>
      <c r="K140" s="1"/>
      <c r="L140" s="1"/>
      <c r="M140" s="1"/>
      <c r="N140" s="1"/>
      <c r="O140" s="1"/>
      <c r="P140" s="1"/>
      <c r="Q140" s="1"/>
      <c r="R140" s="1"/>
    </row>
    <row r="141" spans="2:18" x14ac:dyDescent="0.25">
      <c r="B141" s="167"/>
      <c r="F141" s="167"/>
      <c r="G141" s="167"/>
      <c r="H141" s="167"/>
      <c r="I141" s="167"/>
      <c r="J141" s="167"/>
      <c r="K141" s="1"/>
      <c r="L141" s="1"/>
      <c r="M141" s="1"/>
      <c r="N141" s="1"/>
      <c r="O141" s="1"/>
      <c r="P141" s="1"/>
      <c r="Q141" s="1"/>
      <c r="R141" s="1"/>
    </row>
    <row r="142" spans="2:18" x14ac:dyDescent="0.25">
      <c r="B142" s="167"/>
      <c r="F142" s="167"/>
      <c r="G142" s="167"/>
      <c r="H142" s="167"/>
      <c r="I142" s="167"/>
      <c r="J142" s="167"/>
      <c r="K142" s="1"/>
      <c r="L142" s="1"/>
      <c r="M142" s="1"/>
      <c r="N142" s="1"/>
      <c r="O142" s="1"/>
      <c r="P142" s="1"/>
      <c r="Q142" s="1"/>
      <c r="R142" s="1"/>
    </row>
    <row r="143" spans="2:18" x14ac:dyDescent="0.25">
      <c r="B143" s="167"/>
      <c r="F143" s="167"/>
      <c r="G143" s="167"/>
      <c r="H143" s="167"/>
      <c r="I143" s="167"/>
      <c r="J143" s="167"/>
      <c r="K143" s="1"/>
      <c r="L143" s="1"/>
      <c r="M143" s="1"/>
      <c r="N143" s="1"/>
      <c r="O143" s="1"/>
      <c r="P143" s="1"/>
      <c r="Q143" s="1"/>
      <c r="R143" s="1"/>
    </row>
    <row r="144" spans="2:18" x14ac:dyDescent="0.25">
      <c r="B144" s="167"/>
      <c r="F144" s="167"/>
      <c r="G144" s="167"/>
      <c r="H144" s="167"/>
      <c r="I144" s="167"/>
      <c r="J144" s="167"/>
      <c r="K144" s="1"/>
      <c r="L144" s="1"/>
      <c r="M144" s="1"/>
      <c r="N144" s="1"/>
      <c r="O144" s="1"/>
      <c r="P144" s="1"/>
      <c r="Q144" s="1"/>
      <c r="R144" s="1"/>
    </row>
    <row r="145" spans="2:18" x14ac:dyDescent="0.25">
      <c r="B145" s="167"/>
      <c r="F145" s="167"/>
      <c r="G145" s="167"/>
      <c r="H145" s="167"/>
      <c r="I145" s="167"/>
      <c r="J145" s="167"/>
      <c r="K145" s="1"/>
      <c r="L145" s="1"/>
      <c r="M145" s="1"/>
      <c r="N145" s="1"/>
      <c r="O145" s="1"/>
      <c r="P145" s="1"/>
      <c r="Q145" s="1"/>
      <c r="R145" s="1"/>
    </row>
    <row r="146" spans="2:18" x14ac:dyDescent="0.25">
      <c r="B146" s="167"/>
      <c r="F146" s="167"/>
      <c r="G146" s="167"/>
      <c r="H146" s="167"/>
      <c r="I146" s="167"/>
      <c r="J146" s="167"/>
      <c r="K146" s="1"/>
      <c r="L146" s="1"/>
      <c r="M146" s="1"/>
      <c r="N146" s="1"/>
      <c r="O146" s="1"/>
      <c r="P146" s="1"/>
      <c r="Q146" s="1"/>
      <c r="R146" s="1"/>
    </row>
    <row r="147" spans="2:18" x14ac:dyDescent="0.25">
      <c r="B147" s="167"/>
      <c r="F147" s="167"/>
      <c r="G147" s="167"/>
      <c r="H147" s="167"/>
      <c r="I147" s="167"/>
      <c r="J147" s="167"/>
      <c r="K147" s="1"/>
      <c r="L147" s="1"/>
      <c r="M147" s="1"/>
      <c r="N147" s="1"/>
      <c r="O147" s="1"/>
      <c r="P147" s="1"/>
      <c r="Q147" s="1"/>
      <c r="R147" s="1"/>
    </row>
    <row r="148" spans="2:18" x14ac:dyDescent="0.25">
      <c r="B148" s="167"/>
      <c r="F148" s="167"/>
      <c r="G148" s="167"/>
      <c r="H148" s="167"/>
      <c r="I148" s="167"/>
      <c r="J148" s="167"/>
      <c r="K148" s="1"/>
      <c r="L148" s="1"/>
      <c r="M148" s="1"/>
      <c r="N148" s="1"/>
      <c r="O148" s="1"/>
      <c r="P148" s="1"/>
      <c r="Q148" s="1"/>
      <c r="R148" s="1"/>
    </row>
    <row r="149" spans="2:18" x14ac:dyDescent="0.25">
      <c r="B149" s="167"/>
      <c r="F149" s="167"/>
      <c r="G149" s="167"/>
      <c r="H149" s="167"/>
      <c r="I149" s="167"/>
      <c r="J149" s="167"/>
      <c r="K149" s="1"/>
      <c r="L149" s="1"/>
      <c r="M149" s="1"/>
      <c r="N149" s="1"/>
      <c r="O149" s="1"/>
      <c r="P149" s="1"/>
      <c r="Q149" s="1"/>
      <c r="R149" s="1"/>
    </row>
    <row r="150" spans="2:18" x14ac:dyDescent="0.25">
      <c r="B150" s="167"/>
      <c r="F150" s="167"/>
      <c r="G150" s="167"/>
      <c r="H150" s="167"/>
      <c r="I150" s="167"/>
      <c r="J150" s="167"/>
      <c r="K150" s="1"/>
      <c r="L150" s="1"/>
      <c r="M150" s="1"/>
      <c r="N150" s="1"/>
      <c r="O150" s="1"/>
      <c r="P150" s="1"/>
      <c r="Q150" s="1"/>
      <c r="R150" s="1"/>
    </row>
    <row r="151" spans="2:18" x14ac:dyDescent="0.25">
      <c r="B151" s="167"/>
      <c r="F151" s="167"/>
      <c r="G151" s="167"/>
      <c r="H151" s="167"/>
      <c r="I151" s="167"/>
      <c r="J151" s="167"/>
      <c r="K151" s="1"/>
      <c r="L151" s="1"/>
      <c r="M151" s="1"/>
      <c r="N151" s="1"/>
      <c r="O151" s="1"/>
      <c r="P151" s="1"/>
      <c r="Q151" s="1"/>
      <c r="R151" s="1"/>
    </row>
    <row r="152" spans="2:18" x14ac:dyDescent="0.25">
      <c r="B152" s="167"/>
      <c r="F152" s="167"/>
      <c r="G152" s="167"/>
      <c r="H152" s="167"/>
      <c r="I152" s="167"/>
      <c r="J152" s="167"/>
      <c r="K152" s="1"/>
      <c r="L152" s="1"/>
      <c r="M152" s="1"/>
      <c r="N152" s="1"/>
      <c r="O152" s="1"/>
      <c r="P152" s="1"/>
      <c r="Q152" s="1"/>
      <c r="R152" s="1"/>
    </row>
  </sheetData>
  <mergeCells count="210">
    <mergeCell ref="B1:J1"/>
    <mergeCell ref="B2:J2"/>
    <mergeCell ref="B3:C3"/>
    <mergeCell ref="D3:J3"/>
    <mergeCell ref="B4:C4"/>
    <mergeCell ref="D4:J4"/>
    <mergeCell ref="C11:I11"/>
    <mergeCell ref="B12:J12"/>
    <mergeCell ref="B13:F13"/>
    <mergeCell ref="G13:H13"/>
    <mergeCell ref="I13:J13"/>
    <mergeCell ref="B14:F14"/>
    <mergeCell ref="G14:H14"/>
    <mergeCell ref="I14:J14"/>
    <mergeCell ref="B5:J5"/>
    <mergeCell ref="C6:I6"/>
    <mergeCell ref="C7:I7"/>
    <mergeCell ref="C8:I8"/>
    <mergeCell ref="C9:I9"/>
    <mergeCell ref="C10:I10"/>
    <mergeCell ref="C19:H19"/>
    <mergeCell ref="I19:J19"/>
    <mergeCell ref="C20:F20"/>
    <mergeCell ref="I20:J20"/>
    <mergeCell ref="B21:J21"/>
    <mergeCell ref="C22:I22"/>
    <mergeCell ref="B15:J15"/>
    <mergeCell ref="B16:J16"/>
    <mergeCell ref="C17:H17"/>
    <mergeCell ref="I17:J17"/>
    <mergeCell ref="C18:F18"/>
    <mergeCell ref="I18:J18"/>
    <mergeCell ref="B30:B31"/>
    <mergeCell ref="C30:E30"/>
    <mergeCell ref="J30:J31"/>
    <mergeCell ref="K30:P31"/>
    <mergeCell ref="C31:E31"/>
    <mergeCell ref="B32:B33"/>
    <mergeCell ref="J32:J33"/>
    <mergeCell ref="K32:P33"/>
    <mergeCell ref="C23:D23"/>
    <mergeCell ref="C24:D24"/>
    <mergeCell ref="C26:D26"/>
    <mergeCell ref="C27:I27"/>
    <mergeCell ref="B28:J28"/>
    <mergeCell ref="C29:I29"/>
    <mergeCell ref="C37:I37"/>
    <mergeCell ref="K37:P37"/>
    <mergeCell ref="C38:I38"/>
    <mergeCell ref="B39:J39"/>
    <mergeCell ref="B40:J40"/>
    <mergeCell ref="C41:I41"/>
    <mergeCell ref="C34:I34"/>
    <mergeCell ref="K34:P34"/>
    <mergeCell ref="C35:I35"/>
    <mergeCell ref="K35:P35"/>
    <mergeCell ref="C36:I36"/>
    <mergeCell ref="K36:P36"/>
    <mergeCell ref="B48:J48"/>
    <mergeCell ref="B49:J49"/>
    <mergeCell ref="C50:H50"/>
    <mergeCell ref="C51:H51"/>
    <mergeCell ref="K51:L51"/>
    <mergeCell ref="C52:H52"/>
    <mergeCell ref="K52:L52"/>
    <mergeCell ref="C42:I42"/>
    <mergeCell ref="C43:I43"/>
    <mergeCell ref="C44:I44"/>
    <mergeCell ref="C45:I45"/>
    <mergeCell ref="C46:I46"/>
    <mergeCell ref="B47:J47"/>
    <mergeCell ref="C56:H56"/>
    <mergeCell ref="K56:L56"/>
    <mergeCell ref="B57:B58"/>
    <mergeCell ref="C57:F58"/>
    <mergeCell ref="I57:I58"/>
    <mergeCell ref="J57:J58"/>
    <mergeCell ref="K57:L58"/>
    <mergeCell ref="C53:H53"/>
    <mergeCell ref="K53:L53"/>
    <mergeCell ref="C54:H54"/>
    <mergeCell ref="K54:L54"/>
    <mergeCell ref="C55:H55"/>
    <mergeCell ref="K55:L55"/>
    <mergeCell ref="C63:H63"/>
    <mergeCell ref="B64:B65"/>
    <mergeCell ref="C64:H64"/>
    <mergeCell ref="I64:I65"/>
    <mergeCell ref="J64:J65"/>
    <mergeCell ref="C65:H65"/>
    <mergeCell ref="C59:H59"/>
    <mergeCell ref="K59:L59"/>
    <mergeCell ref="C60:H60"/>
    <mergeCell ref="K60:L60"/>
    <mergeCell ref="C61:H61"/>
    <mergeCell ref="B62:J62"/>
    <mergeCell ref="C69:H69"/>
    <mergeCell ref="B70:J70"/>
    <mergeCell ref="C71:H71"/>
    <mergeCell ref="B72:B73"/>
    <mergeCell ref="C72:H72"/>
    <mergeCell ref="I72:I73"/>
    <mergeCell ref="J72:J73"/>
    <mergeCell ref="C73:H73"/>
    <mergeCell ref="C66:H66"/>
    <mergeCell ref="B67:B68"/>
    <mergeCell ref="C67:H67"/>
    <mergeCell ref="I67:I68"/>
    <mergeCell ref="J67:J68"/>
    <mergeCell ref="C68:H68"/>
    <mergeCell ref="B77:J77"/>
    <mergeCell ref="C78:H78"/>
    <mergeCell ref="B79:B80"/>
    <mergeCell ref="C79:H79"/>
    <mergeCell ref="I79:I80"/>
    <mergeCell ref="J79:J80"/>
    <mergeCell ref="C80:H80"/>
    <mergeCell ref="B74:B75"/>
    <mergeCell ref="C74:H74"/>
    <mergeCell ref="I74:I75"/>
    <mergeCell ref="J74:J75"/>
    <mergeCell ref="C75:H75"/>
    <mergeCell ref="C76:H76"/>
    <mergeCell ref="B81:B82"/>
    <mergeCell ref="C81:H81"/>
    <mergeCell ref="I81:I82"/>
    <mergeCell ref="J81:J82"/>
    <mergeCell ref="C82:H82"/>
    <mergeCell ref="B83:B84"/>
    <mergeCell ref="C83:H83"/>
    <mergeCell ref="I83:I84"/>
    <mergeCell ref="J83:J84"/>
    <mergeCell ref="C84:H84"/>
    <mergeCell ref="C89:H89"/>
    <mergeCell ref="B90:J90"/>
    <mergeCell ref="C91:H91"/>
    <mergeCell ref="B92:B93"/>
    <mergeCell ref="C92:H92"/>
    <mergeCell ref="I92:I93"/>
    <mergeCell ref="J92:J93"/>
    <mergeCell ref="B85:B86"/>
    <mergeCell ref="C85:H85"/>
    <mergeCell ref="I85:I86"/>
    <mergeCell ref="J85:J86"/>
    <mergeCell ref="C86:H86"/>
    <mergeCell ref="B87:B88"/>
    <mergeCell ref="C87:H87"/>
    <mergeCell ref="I87:I88"/>
    <mergeCell ref="J87:J88"/>
    <mergeCell ref="C88:H88"/>
    <mergeCell ref="B96:B97"/>
    <mergeCell ref="C96:H96"/>
    <mergeCell ref="I96:I97"/>
    <mergeCell ref="J96:J97"/>
    <mergeCell ref="K96:P96"/>
    <mergeCell ref="C97:H97"/>
    <mergeCell ref="K92:P92"/>
    <mergeCell ref="C93:H93"/>
    <mergeCell ref="B94:B95"/>
    <mergeCell ref="C94:H94"/>
    <mergeCell ref="I94:I95"/>
    <mergeCell ref="J94:J95"/>
    <mergeCell ref="K94:P94"/>
    <mergeCell ref="C95:H95"/>
    <mergeCell ref="B100:B101"/>
    <mergeCell ref="C100:H100"/>
    <mergeCell ref="I100:I101"/>
    <mergeCell ref="J100:J101"/>
    <mergeCell ref="K100:P100"/>
    <mergeCell ref="C101:H101"/>
    <mergeCell ref="B98:B99"/>
    <mergeCell ref="C98:H98"/>
    <mergeCell ref="I98:I99"/>
    <mergeCell ref="J98:J99"/>
    <mergeCell ref="K98:P98"/>
    <mergeCell ref="C99:H99"/>
    <mergeCell ref="C105:H105"/>
    <mergeCell ref="B106:J106"/>
    <mergeCell ref="C107:H107"/>
    <mergeCell ref="C108:H108"/>
    <mergeCell ref="C109:H109"/>
    <mergeCell ref="C110:H110"/>
    <mergeCell ref="C102:H102"/>
    <mergeCell ref="B103:B104"/>
    <mergeCell ref="C103:H103"/>
    <mergeCell ref="I103:I104"/>
    <mergeCell ref="J103:J104"/>
    <mergeCell ref="C104:H104"/>
    <mergeCell ref="C117:H117"/>
    <mergeCell ref="C118:H118"/>
    <mergeCell ref="C119:H119"/>
    <mergeCell ref="C120:H120"/>
    <mergeCell ref="C121:H121"/>
    <mergeCell ref="C122:H122"/>
    <mergeCell ref="C111:H111"/>
    <mergeCell ref="C112:H112"/>
    <mergeCell ref="C113:H113"/>
    <mergeCell ref="B114:J114"/>
    <mergeCell ref="C115:H115"/>
    <mergeCell ref="C116:H116"/>
    <mergeCell ref="C129:I129"/>
    <mergeCell ref="C130:I130"/>
    <mergeCell ref="C131:I131"/>
    <mergeCell ref="C132:I132"/>
    <mergeCell ref="C123:H123"/>
    <mergeCell ref="B124:J124"/>
    <mergeCell ref="C125:I125"/>
    <mergeCell ref="C126:I126"/>
    <mergeCell ref="C127:I127"/>
    <mergeCell ref="C128:I128"/>
  </mergeCells>
  <dataValidations count="1">
    <dataValidation type="list" allowBlank="1" showInputMessage="1" showErrorMessage="1" sqref="J11">
      <formula1>"LUCRO REAL, LUCRO PRESUMIDO, SIMPLES"</formula1>
    </dataValidation>
  </dataValidations>
  <pageMargins left="0.25" right="0.25" top="0.75" bottom="0.75" header="0.3" footer="0.3"/>
  <pageSetup paperSize="9" scale="35" fitToHeight="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95" workbookViewId="0">
      <selection activeCell="V11" sqref="V11"/>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268"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608</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279">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279">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279">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279">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279"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279"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279" t="s">
        <v>6</v>
      </c>
      <c r="B19" s="510" t="s">
        <v>600</v>
      </c>
      <c r="C19" s="510"/>
      <c r="D19" s="510"/>
      <c r="E19" s="510"/>
      <c r="F19" s="510"/>
      <c r="G19" s="510"/>
      <c r="H19" s="510"/>
      <c r="I19" s="510"/>
      <c r="J19" s="510"/>
      <c r="K19" s="288">
        <v>40.39</v>
      </c>
      <c r="L19" s="288"/>
      <c r="M19" s="262"/>
      <c r="N19" s="262"/>
      <c r="O19" s="262"/>
      <c r="P19" s="262"/>
      <c r="Q19" s="262"/>
      <c r="R19" s="262"/>
      <c r="S19" s="262"/>
      <c r="T19" s="262"/>
      <c r="U19" s="265"/>
      <c r="V19" s="264"/>
      <c r="W19" s="264"/>
      <c r="X19" s="264"/>
      <c r="Y19" s="264"/>
      <c r="Z19" s="264"/>
      <c r="AA19" s="264"/>
      <c r="AB19" s="264"/>
      <c r="AC19" s="264"/>
      <c r="AD19" s="264"/>
      <c r="AE19" s="264"/>
      <c r="AF19" s="264"/>
      <c r="AG19" s="264"/>
      <c r="AH19" s="264"/>
      <c r="AI19" s="264"/>
    </row>
    <row r="20" spans="1:35" ht="19.5" customHeight="1" x14ac:dyDescent="0.25">
      <c r="A20" s="279" t="s">
        <v>8</v>
      </c>
      <c r="B20" s="503" t="s">
        <v>534</v>
      </c>
      <c r="C20" s="503"/>
      <c r="D20" s="503"/>
      <c r="E20" s="503"/>
      <c r="F20" s="503"/>
      <c r="G20" s="503"/>
      <c r="H20" s="503"/>
      <c r="I20" s="503"/>
      <c r="J20" s="503"/>
      <c r="K20" s="288"/>
      <c r="L20" s="288"/>
      <c r="M20" s="262"/>
      <c r="N20" s="262"/>
      <c r="O20" s="262"/>
      <c r="P20" s="262"/>
      <c r="Q20" s="262"/>
      <c r="R20" s="262"/>
      <c r="S20" s="262"/>
      <c r="T20" s="262"/>
      <c r="U20" s="265"/>
      <c r="V20" s="264"/>
      <c r="W20" s="264"/>
      <c r="X20" s="264"/>
      <c r="Y20" s="264"/>
      <c r="Z20" s="264"/>
      <c r="AA20" s="264"/>
      <c r="AB20" s="264"/>
      <c r="AC20" s="264"/>
      <c r="AD20" s="264"/>
      <c r="AE20" s="264"/>
      <c r="AF20" s="264"/>
      <c r="AG20" s="264"/>
      <c r="AH20" s="264"/>
      <c r="AI20" s="264"/>
    </row>
    <row r="21" spans="1:35" ht="19.5" customHeight="1" x14ac:dyDescent="0.25">
      <c r="A21" s="279" t="s">
        <v>10</v>
      </c>
      <c r="B21" s="503" t="s">
        <v>535</v>
      </c>
      <c r="C21" s="503"/>
      <c r="D21" s="503"/>
      <c r="E21" s="503"/>
      <c r="F21" s="503"/>
      <c r="G21" s="503"/>
      <c r="H21" s="503"/>
      <c r="I21" s="503"/>
      <c r="J21" s="503"/>
      <c r="K21" s="288"/>
      <c r="L21" s="288"/>
      <c r="M21" s="262"/>
      <c r="N21" s="262"/>
      <c r="O21" s="262"/>
      <c r="P21" s="262"/>
      <c r="Q21" s="262"/>
      <c r="R21" s="262"/>
      <c r="S21" s="262"/>
      <c r="T21" s="262"/>
      <c r="U21" s="265"/>
      <c r="V21" s="264"/>
      <c r="W21" s="264"/>
      <c r="X21" s="264"/>
      <c r="Y21" s="264"/>
      <c r="Z21" s="264"/>
      <c r="AA21" s="264"/>
      <c r="AB21" s="264"/>
      <c r="AC21" s="264"/>
      <c r="AD21" s="264"/>
      <c r="AE21" s="264"/>
      <c r="AF21" s="264"/>
      <c r="AG21" s="264"/>
      <c r="AH21" s="264"/>
      <c r="AI21" s="264"/>
    </row>
    <row r="22" spans="1:35" ht="19.5" customHeight="1" x14ac:dyDescent="0.25">
      <c r="A22" s="279" t="s">
        <v>12</v>
      </c>
      <c r="B22" s="503" t="s">
        <v>28</v>
      </c>
      <c r="C22" s="503"/>
      <c r="D22" s="503"/>
      <c r="E22" s="503"/>
      <c r="F22" s="503"/>
      <c r="G22" s="503"/>
      <c r="H22" s="503"/>
      <c r="I22" s="503"/>
      <c r="J22" s="503"/>
      <c r="K22" s="288"/>
      <c r="L22" s="288"/>
      <c r="M22" s="262"/>
      <c r="N22" s="262"/>
      <c r="O22" s="262"/>
      <c r="P22" s="262"/>
      <c r="Q22" s="262"/>
      <c r="R22" s="262"/>
      <c r="S22" s="262"/>
      <c r="T22" s="262"/>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279"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279"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292"/>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295"/>
      <c r="L31" s="295">
        <f t="shared" ref="L31:T31" si="7">L25</f>
        <v>0</v>
      </c>
      <c r="M31" s="295">
        <f t="shared" si="7"/>
        <v>0</v>
      </c>
      <c r="N31" s="295">
        <f t="shared" si="7"/>
        <v>0</v>
      </c>
      <c r="O31" s="295">
        <f t="shared" si="7"/>
        <v>0</v>
      </c>
      <c r="P31" s="295">
        <f t="shared" si="7"/>
        <v>0</v>
      </c>
      <c r="Q31" s="295">
        <f t="shared" si="7"/>
        <v>0</v>
      </c>
      <c r="R31" s="295">
        <f t="shared" si="7"/>
        <v>0</v>
      </c>
      <c r="S31" s="295">
        <f t="shared" si="7"/>
        <v>0</v>
      </c>
      <c r="T31" s="295">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279"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279"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279"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279"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279"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279"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279" t="s">
        <v>26</v>
      </c>
      <c r="B40" s="500" t="s">
        <v>546</v>
      </c>
      <c r="C40" s="500"/>
      <c r="D40" s="500"/>
      <c r="E40" s="500"/>
      <c r="F40" s="300">
        <v>0.02</v>
      </c>
      <c r="G40" s="301"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279"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295">
        <f>K31</f>
        <v>0</v>
      </c>
      <c r="L43" s="295">
        <f t="shared" ref="L43:T43" si="11">L31</f>
        <v>0</v>
      </c>
      <c r="M43" s="295">
        <f t="shared" si="11"/>
        <v>0</v>
      </c>
      <c r="N43" s="295">
        <f t="shared" si="11"/>
        <v>0</v>
      </c>
      <c r="O43" s="295">
        <f t="shared" si="11"/>
        <v>0</v>
      </c>
      <c r="P43" s="295">
        <f t="shared" si="11"/>
        <v>0</v>
      </c>
      <c r="Q43" s="295">
        <f t="shared" si="11"/>
        <v>0</v>
      </c>
      <c r="R43" s="295">
        <f t="shared" si="11"/>
        <v>0</v>
      </c>
      <c r="S43" s="295">
        <f t="shared" si="11"/>
        <v>0</v>
      </c>
      <c r="T43" s="295">
        <f t="shared" si="11"/>
        <v>0</v>
      </c>
      <c r="U43" s="265"/>
      <c r="V43" s="264"/>
      <c r="W43" s="264"/>
      <c r="X43" s="264"/>
      <c r="Y43" s="264"/>
      <c r="Z43" s="264"/>
      <c r="AA43" s="264"/>
      <c r="AB43" s="264"/>
      <c r="AC43" s="264"/>
      <c r="AD43" s="264"/>
      <c r="AE43" s="264"/>
      <c r="AF43" s="264"/>
      <c r="AG43" s="264"/>
      <c r="AH43" s="264"/>
      <c r="AI43" s="264"/>
    </row>
    <row r="44" spans="1:35" ht="19.5" customHeight="1" x14ac:dyDescent="0.25">
      <c r="A44" s="279"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279"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279"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279"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279"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279"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279"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279"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279"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279"/>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295"/>
      <c r="L55" s="295">
        <f t="shared" ref="L55:T55" si="15">L43</f>
        <v>0</v>
      </c>
      <c r="M55" s="295">
        <f t="shared" si="15"/>
        <v>0</v>
      </c>
      <c r="N55" s="295">
        <f t="shared" si="15"/>
        <v>0</v>
      </c>
      <c r="O55" s="295">
        <f t="shared" si="15"/>
        <v>0</v>
      </c>
      <c r="P55" s="295">
        <f t="shared" si="15"/>
        <v>0</v>
      </c>
      <c r="Q55" s="295">
        <f t="shared" si="15"/>
        <v>0</v>
      </c>
      <c r="R55" s="295">
        <f t="shared" si="15"/>
        <v>0</v>
      </c>
      <c r="S55" s="295">
        <f t="shared" si="15"/>
        <v>0</v>
      </c>
      <c r="T55" s="295">
        <f t="shared" si="15"/>
        <v>0</v>
      </c>
      <c r="U55" s="265"/>
      <c r="V55" s="264"/>
      <c r="W55" s="264"/>
      <c r="X55" s="264"/>
      <c r="Y55" s="264"/>
      <c r="Z55" s="264"/>
      <c r="AA55" s="264"/>
      <c r="AB55" s="264"/>
      <c r="AC55" s="264"/>
      <c r="AD55" s="264"/>
      <c r="AE55" s="264"/>
      <c r="AF55" s="264"/>
      <c r="AG55" s="264"/>
      <c r="AH55" s="264"/>
      <c r="AI55" s="264"/>
    </row>
    <row r="56" spans="1:35" ht="19.5" customHeight="1" x14ac:dyDescent="0.25">
      <c r="A56" s="279"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279"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279"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05"/>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295"/>
      <c r="L61" s="295">
        <f t="shared" ref="L61:T61" si="20">L55</f>
        <v>0</v>
      </c>
      <c r="M61" s="295">
        <f t="shared" si="20"/>
        <v>0</v>
      </c>
      <c r="N61" s="295">
        <f t="shared" si="20"/>
        <v>0</v>
      </c>
      <c r="O61" s="295">
        <f t="shared" si="20"/>
        <v>0</v>
      </c>
      <c r="P61" s="295">
        <f t="shared" si="20"/>
        <v>0</v>
      </c>
      <c r="Q61" s="295">
        <f t="shared" si="20"/>
        <v>0</v>
      </c>
      <c r="R61" s="295">
        <f t="shared" si="20"/>
        <v>0</v>
      </c>
      <c r="S61" s="295">
        <f t="shared" si="20"/>
        <v>0</v>
      </c>
      <c r="T61" s="295">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279"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279"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279"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279"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279"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279"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279"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279"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279"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279"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279"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279"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279"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295"/>
      <c r="L85" s="295">
        <f t="shared" ref="L85:T85" si="32">L71</f>
        <v>0</v>
      </c>
      <c r="M85" s="295">
        <f t="shared" si="32"/>
        <v>0</v>
      </c>
      <c r="N85" s="295">
        <f t="shared" si="32"/>
        <v>0</v>
      </c>
      <c r="O85" s="295">
        <f t="shared" si="32"/>
        <v>0</v>
      </c>
      <c r="P85" s="295">
        <f t="shared" si="32"/>
        <v>0</v>
      </c>
      <c r="Q85" s="295">
        <f t="shared" si="32"/>
        <v>0</v>
      </c>
      <c r="R85" s="295">
        <f t="shared" si="32"/>
        <v>0</v>
      </c>
      <c r="S85" s="295">
        <f t="shared" si="32"/>
        <v>0</v>
      </c>
      <c r="T85" s="295">
        <f t="shared" si="32"/>
        <v>0</v>
      </c>
      <c r="U85" s="265"/>
      <c r="V85" s="265"/>
      <c r="W85" s="265"/>
      <c r="X85" s="265"/>
      <c r="Y85" s="265"/>
      <c r="Z85" s="265"/>
      <c r="AA85" s="265"/>
      <c r="AB85" s="265"/>
      <c r="AC85" s="265"/>
      <c r="AD85" s="265"/>
      <c r="AE85" s="265"/>
      <c r="AF85" s="265"/>
      <c r="AG85" s="265"/>
      <c r="AH85" s="265"/>
      <c r="AI85" s="265"/>
    </row>
    <row r="86" spans="1:35" ht="19.5" customHeight="1" x14ac:dyDescent="0.25">
      <c r="A86" s="279"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295"/>
      <c r="L89" s="295">
        <f t="shared" ref="L89:T89" si="34">L85</f>
        <v>0</v>
      </c>
      <c r="M89" s="295">
        <f t="shared" si="34"/>
        <v>0</v>
      </c>
      <c r="N89" s="295">
        <f t="shared" si="34"/>
        <v>0</v>
      </c>
      <c r="O89" s="295">
        <f t="shared" si="34"/>
        <v>0</v>
      </c>
      <c r="P89" s="295">
        <f t="shared" si="34"/>
        <v>0</v>
      </c>
      <c r="Q89" s="295">
        <f t="shared" si="34"/>
        <v>0</v>
      </c>
      <c r="R89" s="295">
        <f t="shared" si="34"/>
        <v>0</v>
      </c>
      <c r="S89" s="295">
        <f t="shared" si="34"/>
        <v>0</v>
      </c>
      <c r="T89" s="295">
        <f t="shared" si="34"/>
        <v>0</v>
      </c>
      <c r="U89" s="265"/>
      <c r="V89" s="265"/>
      <c r="W89" s="265"/>
      <c r="X89" s="265"/>
      <c r="Y89" s="265"/>
      <c r="Z89" s="265"/>
      <c r="AA89" s="265"/>
      <c r="AB89" s="265"/>
      <c r="AC89" s="265"/>
      <c r="AD89" s="265"/>
      <c r="AE89" s="265"/>
      <c r="AF89" s="265"/>
      <c r="AG89" s="265"/>
      <c r="AH89" s="265"/>
      <c r="AI89" s="265"/>
    </row>
    <row r="90" spans="1:35" ht="19.5" customHeight="1" x14ac:dyDescent="0.25">
      <c r="A90" s="279"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279"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295"/>
      <c r="L94" s="295">
        <f t="shared" ref="L94:T94" si="38">L89</f>
        <v>0</v>
      </c>
      <c r="M94" s="295">
        <f t="shared" si="38"/>
        <v>0</v>
      </c>
      <c r="N94" s="295">
        <f t="shared" si="38"/>
        <v>0</v>
      </c>
      <c r="O94" s="295">
        <f t="shared" si="38"/>
        <v>0</v>
      </c>
      <c r="P94" s="295">
        <f t="shared" si="38"/>
        <v>0</v>
      </c>
      <c r="Q94" s="295">
        <f t="shared" si="38"/>
        <v>0</v>
      </c>
      <c r="R94" s="295">
        <f t="shared" si="38"/>
        <v>0</v>
      </c>
      <c r="S94" s="295">
        <f t="shared" si="38"/>
        <v>0</v>
      </c>
      <c r="T94" s="295">
        <f t="shared" si="38"/>
        <v>0</v>
      </c>
      <c r="U94" s="265"/>
      <c r="V94" s="265"/>
      <c r="W94" s="265"/>
      <c r="X94" s="265"/>
      <c r="Y94" s="265"/>
      <c r="Z94" s="265"/>
      <c r="AA94" s="265"/>
      <c r="AB94" s="265"/>
      <c r="AC94" s="265"/>
      <c r="AD94" s="265"/>
      <c r="AE94" s="265"/>
      <c r="AF94" s="265"/>
      <c r="AG94" s="265"/>
      <c r="AH94" s="265"/>
      <c r="AI94" s="265"/>
    </row>
    <row r="95" spans="1:35" ht="19.5" customHeight="1" x14ac:dyDescent="0.25">
      <c r="A95" s="279"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279"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279"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295"/>
      <c r="L103" s="295">
        <f t="shared" ref="L103:T103" si="41">L94</f>
        <v>0</v>
      </c>
      <c r="M103" s="295">
        <f t="shared" si="41"/>
        <v>0</v>
      </c>
      <c r="N103" s="295">
        <f t="shared" si="41"/>
        <v>0</v>
      </c>
      <c r="O103" s="295">
        <f t="shared" si="41"/>
        <v>0</v>
      </c>
      <c r="P103" s="295">
        <f t="shared" si="41"/>
        <v>0</v>
      </c>
      <c r="Q103" s="295">
        <f t="shared" si="41"/>
        <v>0</v>
      </c>
      <c r="R103" s="295">
        <f t="shared" si="41"/>
        <v>0</v>
      </c>
      <c r="S103" s="295">
        <f t="shared" si="41"/>
        <v>0</v>
      </c>
      <c r="T103" s="295">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279"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279"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279"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279"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279"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295"/>
      <c r="L111" s="295">
        <f t="shared" ref="L111:T111" si="48">L103</f>
        <v>0</v>
      </c>
      <c r="M111" s="295">
        <f t="shared" si="48"/>
        <v>0</v>
      </c>
      <c r="N111" s="295">
        <f t="shared" si="48"/>
        <v>0</v>
      </c>
      <c r="O111" s="295">
        <f t="shared" si="48"/>
        <v>0</v>
      </c>
      <c r="P111" s="295">
        <f t="shared" si="48"/>
        <v>0</v>
      </c>
      <c r="Q111" s="295">
        <f t="shared" si="48"/>
        <v>0</v>
      </c>
      <c r="R111" s="295">
        <f t="shared" si="48"/>
        <v>0</v>
      </c>
      <c r="S111" s="295">
        <f t="shared" si="48"/>
        <v>0</v>
      </c>
      <c r="T111" s="295">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279" t="s">
        <v>3</v>
      </c>
      <c r="B112" s="500" t="s">
        <v>595</v>
      </c>
      <c r="C112" s="500"/>
      <c r="D112" s="500"/>
      <c r="E112" s="500"/>
      <c r="F112" s="500"/>
      <c r="G112" s="500"/>
      <c r="H112" s="500"/>
      <c r="I112" s="500"/>
      <c r="J112" s="313">
        <v>0.08</v>
      </c>
      <c r="K112" s="288">
        <f>K$109*$J112</f>
        <v>211.67</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279" t="s">
        <v>5</v>
      </c>
      <c r="B113" s="500" t="s">
        <v>130</v>
      </c>
      <c r="C113" s="500"/>
      <c r="D113" s="500"/>
      <c r="E113" s="500"/>
      <c r="F113" s="500"/>
      <c r="G113" s="500"/>
      <c r="H113" s="500"/>
      <c r="I113" s="500"/>
      <c r="J113" s="313">
        <v>7.8E-2</v>
      </c>
      <c r="K113" s="288">
        <f t="shared" ref="K113:T113" si="50">(K109+K112)*$J113</f>
        <v>222.89</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241.86</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676.42</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3322.27</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B120:H120"/>
    <mergeCell ref="A123:H123"/>
    <mergeCell ref="A124:H124"/>
    <mergeCell ref="B112:I112"/>
    <mergeCell ref="B113:I113"/>
    <mergeCell ref="A114:A115"/>
    <mergeCell ref="B114:I115"/>
    <mergeCell ref="A116:J116"/>
    <mergeCell ref="A118:J118"/>
    <mergeCell ref="B106:J106"/>
    <mergeCell ref="B107:J107"/>
    <mergeCell ref="B108:J108"/>
    <mergeCell ref="A109:J109"/>
    <mergeCell ref="A110:K110"/>
    <mergeCell ref="A111:J111"/>
    <mergeCell ref="A100:J100"/>
    <mergeCell ref="A101:K101"/>
    <mergeCell ref="A102:T102"/>
    <mergeCell ref="A103:J103"/>
    <mergeCell ref="B104:J104"/>
    <mergeCell ref="B105:J105"/>
    <mergeCell ref="A93:K93"/>
    <mergeCell ref="A94:J94"/>
    <mergeCell ref="B95:J95"/>
    <mergeCell ref="B96:I96"/>
    <mergeCell ref="B97:I97"/>
    <mergeCell ref="A98:A99"/>
    <mergeCell ref="B98:C99"/>
    <mergeCell ref="D98:J98"/>
    <mergeCell ref="D99:J99"/>
    <mergeCell ref="A87:I87"/>
    <mergeCell ref="A88:K88"/>
    <mergeCell ref="A89:J89"/>
    <mergeCell ref="B90:I90"/>
    <mergeCell ref="B91:I91"/>
    <mergeCell ref="A92:I92"/>
    <mergeCell ref="B81:I81"/>
    <mergeCell ref="B82:I82"/>
    <mergeCell ref="A83:I83"/>
    <mergeCell ref="A84:K84"/>
    <mergeCell ref="A85:J85"/>
    <mergeCell ref="B86:I86"/>
    <mergeCell ref="A75:J75"/>
    <mergeCell ref="B76:I76"/>
    <mergeCell ref="B77:I77"/>
    <mergeCell ref="B78:I78"/>
    <mergeCell ref="B79:I79"/>
    <mergeCell ref="B80:I80"/>
    <mergeCell ref="R71:R72"/>
    <mergeCell ref="S71:S72"/>
    <mergeCell ref="T71:T72"/>
    <mergeCell ref="A72:J72"/>
    <mergeCell ref="A73:J73"/>
    <mergeCell ref="B74:I74"/>
    <mergeCell ref="L71:L72"/>
    <mergeCell ref="M71:M72"/>
    <mergeCell ref="N71:N72"/>
    <mergeCell ref="O71:O72"/>
    <mergeCell ref="P71:P72"/>
    <mergeCell ref="Q71:Q72"/>
    <mergeCell ref="B66:I66"/>
    <mergeCell ref="A67:J67"/>
    <mergeCell ref="B68:I68"/>
    <mergeCell ref="A69:I69"/>
    <mergeCell ref="A70:K70"/>
    <mergeCell ref="A71:J71"/>
    <mergeCell ref="K71:K72"/>
    <mergeCell ref="A62:J62"/>
    <mergeCell ref="B63:C63"/>
    <mergeCell ref="F63:G63"/>
    <mergeCell ref="H63:I63"/>
    <mergeCell ref="B64:I64"/>
    <mergeCell ref="B65:I65"/>
    <mergeCell ref="B56:I56"/>
    <mergeCell ref="B57:I57"/>
    <mergeCell ref="B58:J58"/>
    <mergeCell ref="B59:J59"/>
    <mergeCell ref="A60:K60"/>
    <mergeCell ref="A61:J61"/>
    <mergeCell ref="B50:J50"/>
    <mergeCell ref="B51:J51"/>
    <mergeCell ref="B52:J52"/>
    <mergeCell ref="B53:J53"/>
    <mergeCell ref="A54:K54"/>
    <mergeCell ref="A55:J55"/>
    <mergeCell ref="B44:J44"/>
    <mergeCell ref="B45:J45"/>
    <mergeCell ref="B46:J46"/>
    <mergeCell ref="B47:J47"/>
    <mergeCell ref="B48:J48"/>
    <mergeCell ref="B49:J49"/>
    <mergeCell ref="B39:I39"/>
    <mergeCell ref="B40:E40"/>
    <mergeCell ref="H40:I40"/>
    <mergeCell ref="C41:I41"/>
    <mergeCell ref="A42:T42"/>
    <mergeCell ref="A43:J43"/>
    <mergeCell ref="A33:I33"/>
    <mergeCell ref="B34:I34"/>
    <mergeCell ref="B35:I35"/>
    <mergeCell ref="B36:I36"/>
    <mergeCell ref="B37:I37"/>
    <mergeCell ref="B38:I38"/>
    <mergeCell ref="B27:I27"/>
    <mergeCell ref="B28:I28"/>
    <mergeCell ref="B29:I29"/>
    <mergeCell ref="A30:K30"/>
    <mergeCell ref="A31:J31"/>
    <mergeCell ref="A32:J32"/>
    <mergeCell ref="P25:P26"/>
    <mergeCell ref="Q25:Q26"/>
    <mergeCell ref="R25:R26"/>
    <mergeCell ref="S25:S26"/>
    <mergeCell ref="T25:T26"/>
    <mergeCell ref="A26:J26"/>
    <mergeCell ref="A25:J25"/>
    <mergeCell ref="K25:K26"/>
    <mergeCell ref="L25:L26"/>
    <mergeCell ref="M25:M26"/>
    <mergeCell ref="N25:N26"/>
    <mergeCell ref="O25:O26"/>
    <mergeCell ref="B19:J19"/>
    <mergeCell ref="B20:J20"/>
    <mergeCell ref="B21:J21"/>
    <mergeCell ref="B22:J22"/>
    <mergeCell ref="A23:J23"/>
    <mergeCell ref="A24:T24"/>
    <mergeCell ref="B14:J14"/>
    <mergeCell ref="A16:J16"/>
    <mergeCell ref="B17:J17"/>
    <mergeCell ref="B18:D18"/>
    <mergeCell ref="E18:G18"/>
    <mergeCell ref="H18:I18"/>
    <mergeCell ref="B9:J9"/>
    <mergeCell ref="A10:K10"/>
    <mergeCell ref="B11:J11"/>
    <mergeCell ref="B12:J12"/>
    <mergeCell ref="B13:J13"/>
    <mergeCell ref="A5:K5"/>
    <mergeCell ref="A6:C6"/>
    <mergeCell ref="D6:K6"/>
    <mergeCell ref="B7:D7"/>
    <mergeCell ref="E7:K7"/>
    <mergeCell ref="A1:K1"/>
    <mergeCell ref="A2:C2"/>
    <mergeCell ref="D2:K2"/>
    <mergeCell ref="A3:C3"/>
    <mergeCell ref="D3:K3"/>
    <mergeCell ref="A4:C4"/>
    <mergeCell ref="D4:F4"/>
    <mergeCell ref="H4:K4"/>
    <mergeCell ref="B8:J8"/>
  </mergeCells>
  <conditionalFormatting sqref="J97">
    <cfRule type="expression" dxfId="17" priority="2">
      <formula>$J$97=""</formula>
    </cfRule>
  </conditionalFormatting>
  <conditionalFormatting sqref="J96">
    <cfRule type="expression" dxfId="16"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98" workbookViewId="0">
      <selection activeCell="A8" sqref="A8:XFD118"/>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608</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f>K31</f>
        <v>0</v>
      </c>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1"/>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8.5000000000000006E-2</v>
      </c>
      <c r="K112" s="288">
        <f>K$109*$J112</f>
        <v>224.9</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8.5000000000000006E-2</v>
      </c>
      <c r="K113" s="288">
        <f t="shared" ref="K113:T113" si="50">(K109+K112)*$J113</f>
        <v>244.01</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244.56</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713.47</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3359.32</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15" priority="2">
      <formula>$J$97=""</formula>
    </cfRule>
  </conditionalFormatting>
  <conditionalFormatting sqref="J96">
    <cfRule type="expression" dxfId="14"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80898"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110" workbookViewId="0">
      <selection activeCell="K138" sqref="K138"/>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608</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f>K31</f>
        <v>0</v>
      </c>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1"/>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8.5000000000000006E-2</v>
      </c>
      <c r="K112" s="288">
        <f>K$109*$J112</f>
        <v>224.9</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8.5000000000000006E-2</v>
      </c>
      <c r="K113" s="288">
        <f t="shared" ref="K113:T113" si="50">(K109+K112)*$J113</f>
        <v>244.01</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244.56</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713.47</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3359.32</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13" priority="2">
      <formula>$J$97=""</formula>
    </cfRule>
  </conditionalFormatting>
  <conditionalFormatting sqref="J96">
    <cfRule type="expression" dxfId="12"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81922"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110" workbookViewId="0">
      <selection activeCell="U137" sqref="U137"/>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332"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608</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f>K31</f>
        <v>0</v>
      </c>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1"/>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8.5000000000000006E-2</v>
      </c>
      <c r="K112" s="288">
        <f>K$109*$J112</f>
        <v>224.9</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8.5000000000000006E-2</v>
      </c>
      <c r="K113" s="288">
        <f t="shared" ref="K113:T113" si="50">(K109+K112)*$J113</f>
        <v>244.01</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244.56</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713.47</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3359.32</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A5:K5"/>
    <mergeCell ref="A6:C6"/>
    <mergeCell ref="D6:K6"/>
    <mergeCell ref="B7:D7"/>
    <mergeCell ref="E7:K7"/>
    <mergeCell ref="B8:J8"/>
    <mergeCell ref="A1:K1"/>
    <mergeCell ref="A2:C2"/>
    <mergeCell ref="D2:K2"/>
    <mergeCell ref="A3:C3"/>
    <mergeCell ref="D3:K3"/>
    <mergeCell ref="A4:C4"/>
    <mergeCell ref="D4:F4"/>
    <mergeCell ref="H4:K4"/>
    <mergeCell ref="A16:J16"/>
    <mergeCell ref="B17:J17"/>
    <mergeCell ref="B18:D18"/>
    <mergeCell ref="E18:G18"/>
    <mergeCell ref="H18:I18"/>
    <mergeCell ref="B19:J19"/>
    <mergeCell ref="B9:J9"/>
    <mergeCell ref="A10:K10"/>
    <mergeCell ref="B11:J11"/>
    <mergeCell ref="B12:J12"/>
    <mergeCell ref="B13:J13"/>
    <mergeCell ref="B14:J14"/>
    <mergeCell ref="O25:O26"/>
    <mergeCell ref="P25:P26"/>
    <mergeCell ref="Q25:Q26"/>
    <mergeCell ref="R25:R26"/>
    <mergeCell ref="S25:S26"/>
    <mergeCell ref="T25:T26"/>
    <mergeCell ref="B20:J20"/>
    <mergeCell ref="B21:J21"/>
    <mergeCell ref="B22:J22"/>
    <mergeCell ref="A23:J23"/>
    <mergeCell ref="A24:T24"/>
    <mergeCell ref="A25:J25"/>
    <mergeCell ref="K25:K26"/>
    <mergeCell ref="L25:L26"/>
    <mergeCell ref="M25:M26"/>
    <mergeCell ref="N25:N26"/>
    <mergeCell ref="A32:J32"/>
    <mergeCell ref="A33:I33"/>
    <mergeCell ref="B34:I34"/>
    <mergeCell ref="B35:I35"/>
    <mergeCell ref="B36:I36"/>
    <mergeCell ref="B37:I37"/>
    <mergeCell ref="A26:J26"/>
    <mergeCell ref="B27:I27"/>
    <mergeCell ref="B28:I28"/>
    <mergeCell ref="B29:I29"/>
    <mergeCell ref="A30:K30"/>
    <mergeCell ref="A31:J31"/>
    <mergeCell ref="A43:J43"/>
    <mergeCell ref="B44:J44"/>
    <mergeCell ref="B45:J45"/>
    <mergeCell ref="B46:J46"/>
    <mergeCell ref="B47:J47"/>
    <mergeCell ref="B48:J48"/>
    <mergeCell ref="B38:I38"/>
    <mergeCell ref="B39:I39"/>
    <mergeCell ref="B40:E40"/>
    <mergeCell ref="H40:I40"/>
    <mergeCell ref="C41:I41"/>
    <mergeCell ref="A42:T42"/>
    <mergeCell ref="A55:J55"/>
    <mergeCell ref="B56:I56"/>
    <mergeCell ref="B57:I57"/>
    <mergeCell ref="B58:J58"/>
    <mergeCell ref="B59:J59"/>
    <mergeCell ref="A60:K60"/>
    <mergeCell ref="B49:J49"/>
    <mergeCell ref="B50:J50"/>
    <mergeCell ref="B51:J51"/>
    <mergeCell ref="B52:J52"/>
    <mergeCell ref="B53:J53"/>
    <mergeCell ref="A54:K54"/>
    <mergeCell ref="B65:I65"/>
    <mergeCell ref="B66:I66"/>
    <mergeCell ref="A67:J67"/>
    <mergeCell ref="B68:I68"/>
    <mergeCell ref="A69:I69"/>
    <mergeCell ref="A70:K70"/>
    <mergeCell ref="A61:J61"/>
    <mergeCell ref="A62:J62"/>
    <mergeCell ref="B63:C63"/>
    <mergeCell ref="F63:G63"/>
    <mergeCell ref="H63:I63"/>
    <mergeCell ref="B64:I64"/>
    <mergeCell ref="P71:P72"/>
    <mergeCell ref="Q71:Q72"/>
    <mergeCell ref="R71:R72"/>
    <mergeCell ref="S71:S72"/>
    <mergeCell ref="T71:T72"/>
    <mergeCell ref="A72:J72"/>
    <mergeCell ref="A71:J71"/>
    <mergeCell ref="K71:K72"/>
    <mergeCell ref="L71:L72"/>
    <mergeCell ref="M71:M72"/>
    <mergeCell ref="N71:N72"/>
    <mergeCell ref="O71:O72"/>
    <mergeCell ref="B79:I79"/>
    <mergeCell ref="B80:I80"/>
    <mergeCell ref="B81:I81"/>
    <mergeCell ref="B82:I82"/>
    <mergeCell ref="A83:I83"/>
    <mergeCell ref="A84:K84"/>
    <mergeCell ref="A73:J73"/>
    <mergeCell ref="B74:I74"/>
    <mergeCell ref="A75:J75"/>
    <mergeCell ref="B76:I76"/>
    <mergeCell ref="B77:I77"/>
    <mergeCell ref="B78:I78"/>
    <mergeCell ref="B91:I91"/>
    <mergeCell ref="A92:I92"/>
    <mergeCell ref="A93:K93"/>
    <mergeCell ref="A94:J94"/>
    <mergeCell ref="B95:J95"/>
    <mergeCell ref="B96:I96"/>
    <mergeCell ref="A85:J85"/>
    <mergeCell ref="B86:I86"/>
    <mergeCell ref="A87:I87"/>
    <mergeCell ref="A88:K88"/>
    <mergeCell ref="A89:J89"/>
    <mergeCell ref="B90:I90"/>
    <mergeCell ref="A101:K101"/>
    <mergeCell ref="A102:T102"/>
    <mergeCell ref="A103:J103"/>
    <mergeCell ref="B104:J104"/>
    <mergeCell ref="B105:J105"/>
    <mergeCell ref="B106:J106"/>
    <mergeCell ref="B97:I97"/>
    <mergeCell ref="A98:A99"/>
    <mergeCell ref="B98:C99"/>
    <mergeCell ref="D98:J98"/>
    <mergeCell ref="D99:J99"/>
    <mergeCell ref="A100:J100"/>
    <mergeCell ref="A123:H123"/>
    <mergeCell ref="A124:H124"/>
    <mergeCell ref="B113:I113"/>
    <mergeCell ref="A114:A115"/>
    <mergeCell ref="B114:I115"/>
    <mergeCell ref="A116:J116"/>
    <mergeCell ref="A118:J118"/>
    <mergeCell ref="B120:H120"/>
    <mergeCell ref="B107:J107"/>
    <mergeCell ref="B108:J108"/>
    <mergeCell ref="A109:J109"/>
    <mergeCell ref="A110:K110"/>
    <mergeCell ref="A111:J111"/>
    <mergeCell ref="B112:I112"/>
  </mergeCells>
  <conditionalFormatting sqref="J97">
    <cfRule type="expression" dxfId="11" priority="2">
      <formula>$J$97=""</formula>
    </cfRule>
  </conditionalFormatting>
  <conditionalFormatting sqref="J96">
    <cfRule type="expression" dxfId="10"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82946"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3"/>
  <sheetViews>
    <sheetView topLeftCell="A21" zoomScaleNormal="100" workbookViewId="0">
      <selection activeCell="A48" sqref="A48"/>
    </sheetView>
  </sheetViews>
  <sheetFormatPr defaultRowHeight="15" x14ac:dyDescent="0.25"/>
  <cols>
    <col min="2" max="2" width="12.7109375" customWidth="1"/>
    <col min="5" max="5" width="10.7109375" customWidth="1"/>
    <col min="7" max="7" width="11.7109375" customWidth="1"/>
    <col min="8" max="8" width="11.85546875" customWidth="1"/>
  </cols>
  <sheetData>
    <row r="1" spans="1:8" ht="18" x14ac:dyDescent="0.25">
      <c r="A1" s="371" t="s">
        <v>467</v>
      </c>
      <c r="B1" s="371"/>
      <c r="C1" s="371"/>
      <c r="D1" s="371"/>
      <c r="E1" s="371"/>
      <c r="F1" s="371"/>
      <c r="G1" s="371"/>
      <c r="H1" s="371"/>
    </row>
    <row r="2" spans="1:8" ht="15" customHeight="1" x14ac:dyDescent="0.25">
      <c r="A2" s="370" t="s">
        <v>468</v>
      </c>
      <c r="B2" s="370"/>
      <c r="C2" s="370"/>
      <c r="D2" s="370"/>
      <c r="E2" s="370"/>
      <c r="F2" s="370"/>
      <c r="G2" s="370"/>
      <c r="H2" s="370"/>
    </row>
    <row r="3" spans="1:8" ht="15" customHeight="1" x14ac:dyDescent="0.25">
      <c r="A3" s="370" t="s">
        <v>469</v>
      </c>
      <c r="B3" s="370"/>
      <c r="C3" s="370"/>
      <c r="D3" s="370"/>
      <c r="E3" s="370"/>
      <c r="F3" s="370"/>
      <c r="G3" s="370"/>
      <c r="H3" s="370"/>
    </row>
    <row r="4" spans="1:8" ht="15" customHeight="1" x14ac:dyDescent="0.25">
      <c r="A4" s="370" t="s">
        <v>470</v>
      </c>
      <c r="B4" s="370"/>
      <c r="C4" s="370"/>
      <c r="D4" s="370"/>
      <c r="E4" s="370"/>
      <c r="F4" s="370"/>
      <c r="G4" s="370"/>
      <c r="H4" s="370"/>
    </row>
    <row r="5" spans="1:8" x14ac:dyDescent="0.25">
      <c r="B5" s="234"/>
      <c r="C5" s="234"/>
      <c r="D5" s="234"/>
      <c r="E5" s="234"/>
      <c r="F5" s="234"/>
      <c r="G5" s="234"/>
      <c r="H5" s="234"/>
    </row>
    <row r="6" spans="1:8" ht="24" customHeight="1" x14ac:dyDescent="0.25">
      <c r="A6" s="372" t="s">
        <v>506</v>
      </c>
      <c r="B6" s="372"/>
      <c r="C6" s="372"/>
      <c r="D6" s="372"/>
      <c r="E6" s="372"/>
      <c r="F6" s="372"/>
      <c r="G6" s="372"/>
      <c r="H6" s="372"/>
    </row>
    <row r="7" spans="1:8" x14ac:dyDescent="0.25">
      <c r="B7" s="234"/>
      <c r="C7" s="234"/>
      <c r="D7" s="234"/>
      <c r="E7" s="234"/>
      <c r="F7" s="234"/>
      <c r="G7" s="234"/>
      <c r="H7" s="234"/>
    </row>
    <row r="8" spans="1:8" x14ac:dyDescent="0.25">
      <c r="A8" s="369"/>
      <c r="B8" s="373" t="s">
        <v>449</v>
      </c>
      <c r="C8" s="373"/>
      <c r="D8" s="374"/>
      <c r="E8" s="374"/>
      <c r="F8" s="375" t="s">
        <v>471</v>
      </c>
      <c r="G8" s="376"/>
      <c r="H8" s="376"/>
    </row>
    <row r="9" spans="1:8" x14ac:dyDescent="0.25">
      <c r="A9" s="369"/>
      <c r="B9" s="373" t="s">
        <v>450</v>
      </c>
      <c r="C9" s="373"/>
      <c r="D9" s="374"/>
      <c r="E9" s="374"/>
      <c r="F9" s="377" t="s">
        <v>472</v>
      </c>
      <c r="G9" s="377"/>
      <c r="H9" s="377"/>
    </row>
    <row r="10" spans="1:8" x14ac:dyDescent="0.25">
      <c r="A10" s="369"/>
      <c r="B10" s="235"/>
      <c r="C10" s="235"/>
      <c r="D10" s="235"/>
      <c r="E10" s="235"/>
      <c r="F10" s="236"/>
      <c r="G10" s="236"/>
      <c r="H10" s="236"/>
    </row>
    <row r="11" spans="1:8" ht="29.25" customHeight="1" x14ac:dyDescent="0.25">
      <c r="A11" s="369"/>
      <c r="B11" s="378" t="s">
        <v>615</v>
      </c>
      <c r="C11" s="378"/>
      <c r="D11" s="378"/>
      <c r="E11" s="378"/>
      <c r="F11" s="378"/>
      <c r="G11" s="378"/>
      <c r="H11" s="378"/>
    </row>
    <row r="12" spans="1:8" x14ac:dyDescent="0.25">
      <c r="A12" s="250"/>
      <c r="B12" s="361" t="s">
        <v>488</v>
      </c>
      <c r="C12" s="361"/>
      <c r="D12" s="361"/>
      <c r="E12" s="361"/>
      <c r="F12" s="361"/>
      <c r="G12" s="361"/>
      <c r="H12" s="361"/>
    </row>
    <row r="13" spans="1:8" x14ac:dyDescent="0.25">
      <c r="A13" s="362">
        <v>9</v>
      </c>
      <c r="B13" s="363" t="s">
        <v>451</v>
      </c>
      <c r="C13" s="364" t="s">
        <v>148</v>
      </c>
      <c r="D13" s="364"/>
      <c r="E13" s="365" t="s">
        <v>149</v>
      </c>
      <c r="F13" s="365"/>
      <c r="G13" s="365" t="s">
        <v>165</v>
      </c>
      <c r="H13" s="365"/>
    </row>
    <row r="14" spans="1:8" ht="36.75" customHeight="1" x14ac:dyDescent="0.25">
      <c r="A14" s="362"/>
      <c r="B14" s="363"/>
      <c r="C14" s="363" t="s">
        <v>452</v>
      </c>
      <c r="D14" s="363"/>
      <c r="E14" s="363" t="s">
        <v>453</v>
      </c>
      <c r="F14" s="363"/>
      <c r="G14" s="363" t="s">
        <v>454</v>
      </c>
      <c r="H14" s="363"/>
    </row>
    <row r="15" spans="1:8" x14ac:dyDescent="0.25">
      <c r="A15" s="362"/>
      <c r="B15" s="237" t="s">
        <v>455</v>
      </c>
      <c r="C15" s="366" t="s">
        <v>473</v>
      </c>
      <c r="D15" s="366"/>
      <c r="E15" s="367">
        <f>JACIARA!K118</f>
        <v>3359.32</v>
      </c>
      <c r="F15" s="367"/>
      <c r="G15" s="368">
        <f>ROUND((1/800)*E15,2)</f>
        <v>4.2</v>
      </c>
      <c r="H15" s="368"/>
    </row>
    <row r="16" spans="1:8" x14ac:dyDescent="0.25">
      <c r="A16" s="362"/>
      <c r="B16" s="359" t="s">
        <v>137</v>
      </c>
      <c r="C16" s="359"/>
      <c r="D16" s="359"/>
      <c r="E16" s="359"/>
      <c r="F16" s="359"/>
      <c r="G16" s="360">
        <f>G15</f>
        <v>4.2</v>
      </c>
      <c r="H16" s="360"/>
    </row>
    <row r="17" spans="1:8" x14ac:dyDescent="0.25">
      <c r="A17" s="362"/>
      <c r="B17" s="361" t="s">
        <v>490</v>
      </c>
      <c r="C17" s="361"/>
      <c r="D17" s="361"/>
      <c r="E17" s="361"/>
      <c r="F17" s="361"/>
      <c r="G17" s="361"/>
      <c r="H17" s="361"/>
    </row>
    <row r="18" spans="1:8" x14ac:dyDescent="0.25">
      <c r="A18" s="362">
        <v>10</v>
      </c>
      <c r="B18" s="363" t="s">
        <v>451</v>
      </c>
      <c r="C18" s="364" t="s">
        <v>148</v>
      </c>
      <c r="D18" s="364"/>
      <c r="E18" s="365" t="s">
        <v>149</v>
      </c>
      <c r="F18" s="365"/>
      <c r="G18" s="365" t="s">
        <v>165</v>
      </c>
      <c r="H18" s="365"/>
    </row>
    <row r="19" spans="1:8" ht="36.75" customHeight="1" x14ac:dyDescent="0.25">
      <c r="A19" s="362"/>
      <c r="B19" s="363"/>
      <c r="C19" s="363" t="s">
        <v>452</v>
      </c>
      <c r="D19" s="363"/>
      <c r="E19" s="363" t="s">
        <v>453</v>
      </c>
      <c r="F19" s="363"/>
      <c r="G19" s="363" t="s">
        <v>454</v>
      </c>
      <c r="H19" s="363"/>
    </row>
    <row r="20" spans="1:8" x14ac:dyDescent="0.25">
      <c r="A20" s="362"/>
      <c r="B20" s="237" t="s">
        <v>455</v>
      </c>
      <c r="C20" s="366" t="s">
        <v>513</v>
      </c>
      <c r="D20" s="366"/>
      <c r="E20" s="367">
        <f>JACIARA!K118</f>
        <v>3359.32</v>
      </c>
      <c r="F20" s="367"/>
      <c r="G20" s="368">
        <f>ROUND((1/700)*E20,2)</f>
        <v>4.8</v>
      </c>
      <c r="H20" s="368"/>
    </row>
    <row r="21" spans="1:8" x14ac:dyDescent="0.25">
      <c r="A21" s="362"/>
      <c r="B21" s="359" t="s">
        <v>137</v>
      </c>
      <c r="C21" s="359"/>
      <c r="D21" s="359"/>
      <c r="E21" s="359"/>
      <c r="F21" s="359"/>
      <c r="G21" s="360">
        <f>G20</f>
        <v>4.8</v>
      </c>
      <c r="H21" s="360"/>
    </row>
    <row r="22" spans="1:8" x14ac:dyDescent="0.25">
      <c r="A22" s="362"/>
      <c r="B22" s="361" t="s">
        <v>492</v>
      </c>
      <c r="C22" s="361"/>
      <c r="D22" s="361"/>
      <c r="E22" s="361"/>
      <c r="F22" s="361"/>
      <c r="G22" s="361"/>
      <c r="H22" s="361"/>
    </row>
    <row r="23" spans="1:8" x14ac:dyDescent="0.25">
      <c r="A23" s="362">
        <v>11</v>
      </c>
      <c r="B23" s="363" t="s">
        <v>451</v>
      </c>
      <c r="C23" s="364" t="s">
        <v>148</v>
      </c>
      <c r="D23" s="364"/>
      <c r="E23" s="365" t="s">
        <v>149</v>
      </c>
      <c r="F23" s="365"/>
      <c r="G23" s="365" t="s">
        <v>165</v>
      </c>
      <c r="H23" s="365"/>
    </row>
    <row r="24" spans="1:8" ht="36.75" customHeight="1" x14ac:dyDescent="0.25">
      <c r="A24" s="362"/>
      <c r="B24" s="363"/>
      <c r="C24" s="363" t="s">
        <v>452</v>
      </c>
      <c r="D24" s="363"/>
      <c r="E24" s="363" t="s">
        <v>453</v>
      </c>
      <c r="F24" s="363"/>
      <c r="G24" s="363" t="s">
        <v>454</v>
      </c>
      <c r="H24" s="363"/>
    </row>
    <row r="25" spans="1:8" x14ac:dyDescent="0.25">
      <c r="A25" s="362"/>
      <c r="B25" s="237" t="s">
        <v>455</v>
      </c>
      <c r="C25" s="366" t="s">
        <v>609</v>
      </c>
      <c r="D25" s="366"/>
      <c r="E25" s="367">
        <f>JACIARA!K118</f>
        <v>3359.32</v>
      </c>
      <c r="F25" s="367"/>
      <c r="G25" s="368">
        <f>ROUND((1/1430)*E25,2)</f>
        <v>2.35</v>
      </c>
      <c r="H25" s="368"/>
    </row>
    <row r="26" spans="1:8" x14ac:dyDescent="0.25">
      <c r="A26" s="362"/>
      <c r="B26" s="359" t="s">
        <v>137</v>
      </c>
      <c r="C26" s="359"/>
      <c r="D26" s="359"/>
      <c r="E26" s="359"/>
      <c r="F26" s="359"/>
      <c r="G26" s="360">
        <f>G25</f>
        <v>2.35</v>
      </c>
      <c r="H26" s="360"/>
    </row>
    <row r="27" spans="1:8" x14ac:dyDescent="0.25">
      <c r="A27" s="362"/>
      <c r="B27" s="361" t="s">
        <v>493</v>
      </c>
      <c r="C27" s="361"/>
      <c r="D27" s="361"/>
      <c r="E27" s="361"/>
      <c r="F27" s="361"/>
      <c r="G27" s="361"/>
      <c r="H27" s="361"/>
    </row>
    <row r="28" spans="1:8" hidden="1" x14ac:dyDescent="0.25">
      <c r="A28" s="362">
        <v>12</v>
      </c>
      <c r="B28" s="363" t="s">
        <v>451</v>
      </c>
      <c r="C28" s="364" t="s">
        <v>148</v>
      </c>
      <c r="D28" s="364"/>
      <c r="E28" s="365" t="s">
        <v>149</v>
      </c>
      <c r="F28" s="365"/>
      <c r="G28" s="365" t="s">
        <v>165</v>
      </c>
      <c r="H28" s="365"/>
    </row>
    <row r="29" spans="1:8" ht="36.75" hidden="1" customHeight="1" x14ac:dyDescent="0.25">
      <c r="A29" s="362"/>
      <c r="B29" s="363"/>
      <c r="C29" s="363" t="s">
        <v>452</v>
      </c>
      <c r="D29" s="363"/>
      <c r="E29" s="363" t="s">
        <v>453</v>
      </c>
      <c r="F29" s="363"/>
      <c r="G29" s="363" t="s">
        <v>454</v>
      </c>
      <c r="H29" s="363"/>
    </row>
    <row r="30" spans="1:8" hidden="1" x14ac:dyDescent="0.25">
      <c r="A30" s="362"/>
      <c r="B30" s="237" t="s">
        <v>455</v>
      </c>
      <c r="C30" s="366" t="s">
        <v>502</v>
      </c>
      <c r="D30" s="366"/>
      <c r="E30" s="367" t="e">
        <f>#REF!</f>
        <v>#REF!</v>
      </c>
      <c r="F30" s="367"/>
      <c r="G30" s="368" t="e">
        <f>ROUND((1/1800)*E30,2)</f>
        <v>#REF!</v>
      </c>
      <c r="H30" s="368"/>
    </row>
    <row r="31" spans="1:8" hidden="1" x14ac:dyDescent="0.25">
      <c r="A31" s="253"/>
      <c r="B31" s="359" t="s">
        <v>137</v>
      </c>
      <c r="C31" s="359"/>
      <c r="D31" s="359"/>
      <c r="E31" s="359"/>
      <c r="F31" s="359"/>
      <c r="G31" s="360" t="e">
        <f>G30</f>
        <v>#REF!</v>
      </c>
      <c r="H31" s="360"/>
    </row>
    <row r="32" spans="1:8" hidden="1" x14ac:dyDescent="0.25">
      <c r="A32" s="253"/>
      <c r="B32" s="361" t="s">
        <v>479</v>
      </c>
      <c r="C32" s="361"/>
      <c r="D32" s="361"/>
      <c r="E32" s="361"/>
      <c r="F32" s="361"/>
      <c r="G32" s="361"/>
      <c r="H32" s="361"/>
    </row>
    <row r="33" spans="1:8" hidden="1" x14ac:dyDescent="0.25">
      <c r="A33" s="362">
        <v>13</v>
      </c>
      <c r="B33" s="363" t="s">
        <v>451</v>
      </c>
      <c r="C33" s="364" t="s">
        <v>148</v>
      </c>
      <c r="D33" s="364"/>
      <c r="E33" s="365" t="s">
        <v>149</v>
      </c>
      <c r="F33" s="365"/>
      <c r="G33" s="365" t="s">
        <v>165</v>
      </c>
      <c r="H33" s="365"/>
    </row>
    <row r="34" spans="1:8" ht="36.75" hidden="1" customHeight="1" x14ac:dyDescent="0.25">
      <c r="A34" s="362"/>
      <c r="B34" s="363"/>
      <c r="C34" s="363" t="s">
        <v>452</v>
      </c>
      <c r="D34" s="363"/>
      <c r="E34" s="363" t="s">
        <v>453</v>
      </c>
      <c r="F34" s="363"/>
      <c r="G34" s="363" t="s">
        <v>454</v>
      </c>
      <c r="H34" s="363"/>
    </row>
    <row r="35" spans="1:8" hidden="1" x14ac:dyDescent="0.25">
      <c r="A35" s="362"/>
      <c r="B35" s="237" t="s">
        <v>455</v>
      </c>
      <c r="C35" s="366" t="s">
        <v>486</v>
      </c>
      <c r="D35" s="366"/>
      <c r="E35" s="367" t="e">
        <f>#REF!</f>
        <v>#REF!</v>
      </c>
      <c r="F35" s="367"/>
      <c r="G35" s="368" t="e">
        <f>ROUND((1/6000)*E35,2)</f>
        <v>#REF!</v>
      </c>
      <c r="H35" s="368"/>
    </row>
    <row r="36" spans="1:8" hidden="1" x14ac:dyDescent="0.25">
      <c r="A36" s="362"/>
      <c r="B36" s="359" t="s">
        <v>137</v>
      </c>
      <c r="C36" s="359"/>
      <c r="D36" s="359"/>
      <c r="E36" s="359"/>
      <c r="F36" s="359"/>
      <c r="G36" s="360" t="e">
        <f>G35</f>
        <v>#REF!</v>
      </c>
      <c r="H36" s="360"/>
    </row>
    <row r="37" spans="1:8" hidden="1" x14ac:dyDescent="0.25">
      <c r="A37" s="362"/>
      <c r="B37" s="379" t="s">
        <v>480</v>
      </c>
      <c r="C37" s="379"/>
      <c r="D37" s="379"/>
      <c r="E37" s="379"/>
      <c r="F37" s="379"/>
      <c r="G37" s="379"/>
      <c r="H37" s="379"/>
    </row>
    <row r="38" spans="1:8" hidden="1" x14ac:dyDescent="0.25">
      <c r="A38" s="362">
        <v>14</v>
      </c>
      <c r="B38" s="363" t="s">
        <v>451</v>
      </c>
      <c r="C38" s="238" t="s">
        <v>148</v>
      </c>
      <c r="D38" s="238" t="s">
        <v>149</v>
      </c>
      <c r="E38" s="238" t="s">
        <v>165</v>
      </c>
      <c r="F38" s="238" t="s">
        <v>166</v>
      </c>
      <c r="G38" s="238" t="s">
        <v>167</v>
      </c>
      <c r="H38" s="238" t="s">
        <v>456</v>
      </c>
    </row>
    <row r="39" spans="1:8" ht="48" hidden="1" x14ac:dyDescent="0.25">
      <c r="A39" s="362"/>
      <c r="B39" s="363"/>
      <c r="C39" s="239" t="s">
        <v>457</v>
      </c>
      <c r="D39" s="239" t="s">
        <v>458</v>
      </c>
      <c r="E39" s="239" t="s">
        <v>459</v>
      </c>
      <c r="F39" s="239" t="s">
        <v>460</v>
      </c>
      <c r="G39" s="239" t="s">
        <v>461</v>
      </c>
      <c r="H39" s="239" t="s">
        <v>462</v>
      </c>
    </row>
    <row r="40" spans="1:8" hidden="1" x14ac:dyDescent="0.25">
      <c r="A40" s="362"/>
      <c r="B40" s="237" t="s">
        <v>455</v>
      </c>
      <c r="C40" s="240" t="s">
        <v>487</v>
      </c>
      <c r="D40" s="240" t="s">
        <v>463</v>
      </c>
      <c r="E40" s="240" t="s">
        <v>464</v>
      </c>
      <c r="F40" s="241">
        <f>ROUND((1/300)*16*(1/191.4),6)</f>
        <v>2.7900000000000001E-4</v>
      </c>
      <c r="G40" s="235" t="e">
        <f>#REF!</f>
        <v>#REF!</v>
      </c>
      <c r="H40" s="242" t="e">
        <f>ROUND(F40*G40,2)</f>
        <v>#REF!</v>
      </c>
    </row>
    <row r="41" spans="1:8" x14ac:dyDescent="0.25">
      <c r="A41" s="261"/>
      <c r="B41" s="379" t="s">
        <v>481</v>
      </c>
      <c r="C41" s="379"/>
      <c r="D41" s="379"/>
      <c r="E41" s="379"/>
      <c r="F41" s="379"/>
      <c r="G41" s="379"/>
      <c r="H41" s="379"/>
    </row>
    <row r="42" spans="1:8" x14ac:dyDescent="0.25">
      <c r="A42" s="362">
        <v>15</v>
      </c>
      <c r="B42" s="363" t="s">
        <v>451</v>
      </c>
      <c r="C42" s="238" t="s">
        <v>148</v>
      </c>
      <c r="D42" s="238" t="s">
        <v>149</v>
      </c>
      <c r="E42" s="238" t="s">
        <v>165</v>
      </c>
      <c r="F42" s="238" t="s">
        <v>166</v>
      </c>
      <c r="G42" s="238" t="s">
        <v>167</v>
      </c>
      <c r="H42" s="238" t="s">
        <v>456</v>
      </c>
    </row>
    <row r="43" spans="1:8" ht="48" x14ac:dyDescent="0.25">
      <c r="A43" s="362"/>
      <c r="B43" s="363"/>
      <c r="C43" s="239" t="s">
        <v>457</v>
      </c>
      <c r="D43" s="239" t="s">
        <v>458</v>
      </c>
      <c r="E43" s="239" t="s">
        <v>459</v>
      </c>
      <c r="F43" s="239" t="s">
        <v>460</v>
      </c>
      <c r="G43" s="239" t="s">
        <v>461</v>
      </c>
      <c r="H43" s="239" t="s">
        <v>462</v>
      </c>
    </row>
    <row r="44" spans="1:8" x14ac:dyDescent="0.25">
      <c r="A44" s="362"/>
      <c r="B44" s="237" t="s">
        <v>455</v>
      </c>
      <c r="C44" s="240" t="s">
        <v>610</v>
      </c>
      <c r="D44" s="240" t="s">
        <v>463</v>
      </c>
      <c r="E44" s="240" t="s">
        <v>464</v>
      </c>
      <c r="F44" s="241">
        <f>ROUND((1/260)*16*(1/191.4),6)</f>
        <v>3.2200000000000002E-4</v>
      </c>
      <c r="G44" s="235">
        <f>'JACIARA EXT'!K118</f>
        <v>3405.91</v>
      </c>
      <c r="H44" s="242">
        <f>ROUND(F44*G44,2)</f>
        <v>1.1000000000000001</v>
      </c>
    </row>
    <row r="45" spans="1:8" x14ac:dyDescent="0.25">
      <c r="A45" s="251"/>
      <c r="B45" s="359" t="s">
        <v>137</v>
      </c>
      <c r="C45" s="359"/>
      <c r="D45" s="359"/>
      <c r="E45" s="359"/>
      <c r="F45" s="359"/>
      <c r="G45" s="359"/>
      <c r="H45" s="243">
        <f>SUM(H44:H44)</f>
        <v>1.1000000000000001</v>
      </c>
    </row>
    <row r="46" spans="1:8" x14ac:dyDescent="0.25">
      <c r="A46" s="252"/>
      <c r="B46" s="560"/>
      <c r="C46" s="560"/>
      <c r="D46" s="560"/>
      <c r="E46" s="560"/>
      <c r="F46" s="560"/>
      <c r="G46" s="560"/>
      <c r="H46" s="560"/>
    </row>
    <row r="47" spans="1:8" x14ac:dyDescent="0.25">
      <c r="A47" s="233" t="s">
        <v>298</v>
      </c>
      <c r="B47" s="387" t="s">
        <v>498</v>
      </c>
      <c r="C47" s="387"/>
      <c r="D47" s="387"/>
      <c r="E47" s="387"/>
      <c r="F47" s="387"/>
      <c r="G47" s="387"/>
      <c r="H47" s="387"/>
    </row>
    <row r="48" spans="1:8" x14ac:dyDescent="0.25">
      <c r="A48" s="249">
        <v>9</v>
      </c>
      <c r="B48" s="390" t="s">
        <v>476</v>
      </c>
      <c r="C48" s="383"/>
      <c r="D48" s="384"/>
      <c r="E48" s="244">
        <f>G16</f>
        <v>4.2</v>
      </c>
      <c r="F48" s="245">
        <v>483</v>
      </c>
      <c r="G48" s="391">
        <f t="shared" ref="G48:G54" si="0">E48*F48</f>
        <v>2028.6</v>
      </c>
      <c r="H48" s="392"/>
    </row>
    <row r="49" spans="1:8" ht="15.75" x14ac:dyDescent="0.25">
      <c r="A49" s="249">
        <v>10</v>
      </c>
      <c r="B49" s="382" t="s">
        <v>489</v>
      </c>
      <c r="C49" s="383"/>
      <c r="D49" s="384"/>
      <c r="E49" s="244">
        <f>G20</f>
        <v>4.8</v>
      </c>
      <c r="F49" s="245">
        <v>255</v>
      </c>
      <c r="G49" s="359">
        <f t="shared" si="0"/>
        <v>1224</v>
      </c>
      <c r="H49" s="385"/>
    </row>
    <row r="50" spans="1:8" ht="15.75" x14ac:dyDescent="0.25">
      <c r="A50" s="249">
        <v>11</v>
      </c>
      <c r="B50" s="382" t="s">
        <v>491</v>
      </c>
      <c r="C50" s="383"/>
      <c r="D50" s="384"/>
      <c r="E50" s="244">
        <f>G20</f>
        <v>4.8</v>
      </c>
      <c r="F50" s="245">
        <v>60</v>
      </c>
      <c r="G50" s="359">
        <f t="shared" si="0"/>
        <v>288</v>
      </c>
      <c r="H50" s="385"/>
    </row>
    <row r="51" spans="1:8" ht="27.75" customHeight="1" x14ac:dyDescent="0.25">
      <c r="A51" s="249">
        <v>12</v>
      </c>
      <c r="B51" s="382" t="s">
        <v>477</v>
      </c>
      <c r="C51" s="388"/>
      <c r="D51" s="389"/>
      <c r="E51" s="244">
        <f>G25</f>
        <v>2.35</v>
      </c>
      <c r="F51" s="245">
        <v>166</v>
      </c>
      <c r="G51" s="359">
        <f t="shared" si="0"/>
        <v>390.1</v>
      </c>
      <c r="H51" s="385"/>
    </row>
    <row r="52" spans="1:8" ht="27" customHeight="1" x14ac:dyDescent="0.25">
      <c r="A52" s="249">
        <v>13</v>
      </c>
      <c r="B52" s="382" t="s">
        <v>478</v>
      </c>
      <c r="C52" s="383"/>
      <c r="D52" s="384"/>
      <c r="E52" s="244">
        <f>G25</f>
        <v>2.35</v>
      </c>
      <c r="F52" s="245">
        <v>110</v>
      </c>
      <c r="G52" s="359">
        <f t="shared" si="0"/>
        <v>258.5</v>
      </c>
      <c r="H52" s="385"/>
    </row>
    <row r="53" spans="1:8" ht="40.5" customHeight="1" x14ac:dyDescent="0.25">
      <c r="A53" s="249">
        <v>14</v>
      </c>
      <c r="B53" s="382" t="s">
        <v>479</v>
      </c>
      <c r="C53" s="383"/>
      <c r="D53" s="384"/>
      <c r="E53" s="244">
        <f>H45</f>
        <v>1.1000000000000001</v>
      </c>
      <c r="F53" s="245">
        <v>222</v>
      </c>
      <c r="G53" s="359">
        <f t="shared" si="0"/>
        <v>244.2</v>
      </c>
      <c r="H53" s="385"/>
    </row>
    <row r="54" spans="1:8" ht="25.5" customHeight="1" x14ac:dyDescent="0.25">
      <c r="A54" s="249">
        <v>15</v>
      </c>
      <c r="B54" s="382" t="s">
        <v>480</v>
      </c>
      <c r="C54" s="383"/>
      <c r="D54" s="384"/>
      <c r="E54" s="244">
        <f>H45</f>
        <v>1.1000000000000001</v>
      </c>
      <c r="F54" s="245">
        <v>222</v>
      </c>
      <c r="G54" s="359">
        <f t="shared" si="0"/>
        <v>244.2</v>
      </c>
      <c r="H54" s="385"/>
    </row>
    <row r="55" spans="1:8" x14ac:dyDescent="0.25">
      <c r="A55" s="393" t="s">
        <v>465</v>
      </c>
      <c r="B55" s="393"/>
      <c r="C55" s="393"/>
      <c r="D55" s="393"/>
      <c r="E55" s="393"/>
      <c r="F55" s="393"/>
      <c r="G55" s="386">
        <f>SUM(G48:H54)</f>
        <v>4677.6000000000004</v>
      </c>
      <c r="H55" s="386"/>
    </row>
    <row r="56" spans="1:8" x14ac:dyDescent="0.25">
      <c r="A56" s="369"/>
      <c r="B56" s="369"/>
      <c r="C56" s="369"/>
      <c r="D56" s="369"/>
      <c r="E56" s="369"/>
      <c r="F56" s="369"/>
      <c r="G56" s="369"/>
      <c r="H56" s="369"/>
    </row>
    <row r="57" spans="1:8" x14ac:dyDescent="0.25">
      <c r="A57" s="393" t="s">
        <v>466</v>
      </c>
      <c r="B57" s="393"/>
      <c r="C57" s="393"/>
      <c r="D57" s="393"/>
      <c r="E57" s="393"/>
      <c r="F57" s="393"/>
      <c r="G57" s="559">
        <f>G55*12</f>
        <v>56131.199999999997</v>
      </c>
      <c r="H57" s="559"/>
    </row>
    <row r="58" spans="1:8" x14ac:dyDescent="0.25">
      <c r="B58" s="246"/>
      <c r="C58" s="246"/>
      <c r="D58" s="247"/>
      <c r="E58" s="247"/>
      <c r="F58" s="247"/>
      <c r="G58" s="248"/>
      <c r="H58" s="247"/>
    </row>
    <row r="59" spans="1:8" x14ac:dyDescent="0.25">
      <c r="B59" s="381" t="s">
        <v>496</v>
      </c>
      <c r="C59" s="381"/>
      <c r="D59" s="381"/>
      <c r="E59" s="381"/>
      <c r="F59" s="381"/>
      <c r="G59" s="381"/>
      <c r="H59" s="381"/>
    </row>
    <row r="60" spans="1:8" x14ac:dyDescent="0.25">
      <c r="B60" s="246"/>
      <c r="C60" s="246"/>
      <c r="D60" s="247"/>
      <c r="E60" s="247"/>
      <c r="F60" s="247"/>
      <c r="G60" s="248"/>
      <c r="H60" s="247"/>
    </row>
    <row r="61" spans="1:8" x14ac:dyDescent="0.25">
      <c r="B61" s="246"/>
      <c r="C61" s="246"/>
      <c r="D61" s="247"/>
      <c r="E61" s="247"/>
      <c r="F61" s="247"/>
      <c r="G61" s="248"/>
      <c r="H61" s="247"/>
    </row>
    <row r="62" spans="1:8" x14ac:dyDescent="0.25">
      <c r="A62" s="380" t="s">
        <v>467</v>
      </c>
      <c r="B62" s="380"/>
      <c r="C62" s="380"/>
      <c r="D62" s="380"/>
      <c r="E62" s="380"/>
      <c r="F62" s="380"/>
      <c r="G62" s="380"/>
      <c r="H62" s="380"/>
    </row>
    <row r="63" spans="1:8" x14ac:dyDescent="0.25">
      <c r="A63" s="380" t="s">
        <v>497</v>
      </c>
      <c r="B63" s="380"/>
      <c r="C63" s="380"/>
      <c r="D63" s="380"/>
      <c r="E63" s="380"/>
      <c r="F63" s="380"/>
      <c r="G63" s="380"/>
      <c r="H63" s="380"/>
    </row>
  </sheetData>
  <mergeCells count="118">
    <mergeCell ref="A1:H1"/>
    <mergeCell ref="A2:H2"/>
    <mergeCell ref="A3:H3"/>
    <mergeCell ref="A4:H4"/>
    <mergeCell ref="A6:H6"/>
    <mergeCell ref="A8:A11"/>
    <mergeCell ref="B8:C8"/>
    <mergeCell ref="D8:E8"/>
    <mergeCell ref="F8:H8"/>
    <mergeCell ref="B9:C9"/>
    <mergeCell ref="D9:E9"/>
    <mergeCell ref="F9:H9"/>
    <mergeCell ref="B11:H11"/>
    <mergeCell ref="B12:H12"/>
    <mergeCell ref="A13:A15"/>
    <mergeCell ref="B13:B14"/>
    <mergeCell ref="C13:D13"/>
    <mergeCell ref="E13:F13"/>
    <mergeCell ref="G13:H13"/>
    <mergeCell ref="C14:D14"/>
    <mergeCell ref="C20:D20"/>
    <mergeCell ref="E20:F20"/>
    <mergeCell ref="E14:F14"/>
    <mergeCell ref="G14:H14"/>
    <mergeCell ref="C15:D15"/>
    <mergeCell ref="E15:F15"/>
    <mergeCell ref="G15:H15"/>
    <mergeCell ref="A16:A17"/>
    <mergeCell ref="B16:F16"/>
    <mergeCell ref="G16:H16"/>
    <mergeCell ref="B17:H17"/>
    <mergeCell ref="C24:D24"/>
    <mergeCell ref="E24:F24"/>
    <mergeCell ref="G24:H24"/>
    <mergeCell ref="C25:D25"/>
    <mergeCell ref="E25:F25"/>
    <mergeCell ref="G25:H25"/>
    <mergeCell ref="G20:H20"/>
    <mergeCell ref="A21:A22"/>
    <mergeCell ref="B21:F21"/>
    <mergeCell ref="G21:H21"/>
    <mergeCell ref="B22:H22"/>
    <mergeCell ref="A23:A25"/>
    <mergeCell ref="B23:B24"/>
    <mergeCell ref="C23:D23"/>
    <mergeCell ref="E23:F23"/>
    <mergeCell ref="G23:H23"/>
    <mergeCell ref="A18:A20"/>
    <mergeCell ref="B18:B19"/>
    <mergeCell ref="C18:D18"/>
    <mergeCell ref="E18:F18"/>
    <mergeCell ref="G18:H18"/>
    <mergeCell ref="C19:D19"/>
    <mergeCell ref="E19:F19"/>
    <mergeCell ref="G19:H19"/>
    <mergeCell ref="E29:F29"/>
    <mergeCell ref="G29:H29"/>
    <mergeCell ref="C30:D30"/>
    <mergeCell ref="E30:F30"/>
    <mergeCell ref="G30:H30"/>
    <mergeCell ref="B31:F31"/>
    <mergeCell ref="G31:H31"/>
    <mergeCell ref="A26:A27"/>
    <mergeCell ref="B26:F26"/>
    <mergeCell ref="G26:H26"/>
    <mergeCell ref="B27:H27"/>
    <mergeCell ref="A28:A30"/>
    <mergeCell ref="B28:B29"/>
    <mergeCell ref="C28:D28"/>
    <mergeCell ref="E28:F28"/>
    <mergeCell ref="G28:H28"/>
    <mergeCell ref="C29:D29"/>
    <mergeCell ref="C34:D34"/>
    <mergeCell ref="E34:F34"/>
    <mergeCell ref="G34:H34"/>
    <mergeCell ref="C35:D35"/>
    <mergeCell ref="E35:F35"/>
    <mergeCell ref="G35:H35"/>
    <mergeCell ref="B32:H32"/>
    <mergeCell ref="A33:A35"/>
    <mergeCell ref="B33:B34"/>
    <mergeCell ref="C33:D33"/>
    <mergeCell ref="E33:F33"/>
    <mergeCell ref="G33:H33"/>
    <mergeCell ref="B41:H41"/>
    <mergeCell ref="A42:A44"/>
    <mergeCell ref="B42:B43"/>
    <mergeCell ref="B45:G45"/>
    <mergeCell ref="A36:A37"/>
    <mergeCell ref="B36:F36"/>
    <mergeCell ref="G36:H36"/>
    <mergeCell ref="B37:H37"/>
    <mergeCell ref="A38:A40"/>
    <mergeCell ref="B38:B39"/>
    <mergeCell ref="B49:D49"/>
    <mergeCell ref="G49:H49"/>
    <mergeCell ref="B50:D50"/>
    <mergeCell ref="G50:H50"/>
    <mergeCell ref="B51:D51"/>
    <mergeCell ref="G51:H51"/>
    <mergeCell ref="B46:H46"/>
    <mergeCell ref="B47:H47"/>
    <mergeCell ref="B48:D48"/>
    <mergeCell ref="G48:H48"/>
    <mergeCell ref="A62:H62"/>
    <mergeCell ref="A63:H63"/>
    <mergeCell ref="A55:F55"/>
    <mergeCell ref="G55:H55"/>
    <mergeCell ref="A56:H56"/>
    <mergeCell ref="A57:F57"/>
    <mergeCell ref="G57:H57"/>
    <mergeCell ref="B59:H59"/>
    <mergeCell ref="B52:D52"/>
    <mergeCell ref="G52:H52"/>
    <mergeCell ref="B53:D53"/>
    <mergeCell ref="G53:H53"/>
    <mergeCell ref="B54:D54"/>
    <mergeCell ref="G54:H54"/>
  </mergeCells>
  <pageMargins left="0.511811024" right="0.511811024" top="0.78740157499999996" bottom="0.78740157499999996" header="0.31496062000000002" footer="0.31496062000000002"/>
  <pageSetup paperSize="9"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I124"/>
  <sheetViews>
    <sheetView topLeftCell="A103" workbookViewId="0">
      <selection activeCell="V14" sqref="V14"/>
    </sheetView>
  </sheetViews>
  <sheetFormatPr defaultRowHeight="15" x14ac:dyDescent="0.25"/>
  <cols>
    <col min="11" max="11" width="13.28515625" customWidth="1"/>
    <col min="12" max="20" width="0" hidden="1" customWidth="1"/>
    <col min="25" max="25" width="16" customWidth="1"/>
  </cols>
  <sheetData>
    <row r="1" spans="1:35" ht="19.5" customHeight="1" x14ac:dyDescent="0.25">
      <c r="A1" s="498" t="s">
        <v>515</v>
      </c>
      <c r="B1" s="498"/>
      <c r="C1" s="498"/>
      <c r="D1" s="498"/>
      <c r="E1" s="498"/>
      <c r="F1" s="498"/>
      <c r="G1" s="498"/>
      <c r="H1" s="498"/>
      <c r="I1" s="498"/>
      <c r="J1" s="498"/>
      <c r="K1" s="498"/>
      <c r="L1" s="263"/>
      <c r="M1" s="264"/>
      <c r="N1" s="264"/>
      <c r="O1" s="264"/>
      <c r="P1" s="264"/>
      <c r="Q1" s="264"/>
      <c r="R1" s="264"/>
      <c r="S1" s="264"/>
      <c r="T1" s="264"/>
      <c r="U1" s="265"/>
      <c r="V1" s="264"/>
      <c r="W1" s="264"/>
      <c r="X1" s="264"/>
      <c r="Y1" s="264"/>
      <c r="Z1" s="264"/>
      <c r="AA1" s="264"/>
      <c r="AB1" s="264"/>
      <c r="AC1" s="264"/>
      <c r="AD1" s="264"/>
      <c r="AE1" s="264"/>
      <c r="AF1" s="264"/>
      <c r="AG1" s="264"/>
      <c r="AH1" s="264"/>
      <c r="AI1" s="264"/>
    </row>
    <row r="2" spans="1:35" ht="19.5" customHeight="1" x14ac:dyDescent="0.25">
      <c r="A2" s="499" t="s">
        <v>516</v>
      </c>
      <c r="B2" s="499"/>
      <c r="C2" s="499"/>
      <c r="D2" s="500" t="s">
        <v>601</v>
      </c>
      <c r="E2" s="500"/>
      <c r="F2" s="500"/>
      <c r="G2" s="500"/>
      <c r="H2" s="500"/>
      <c r="I2" s="500"/>
      <c r="J2" s="500"/>
      <c r="K2" s="500"/>
      <c r="L2" s="266"/>
      <c r="M2" s="264"/>
      <c r="N2" s="264"/>
      <c r="O2" s="264"/>
      <c r="P2" s="264"/>
      <c r="Q2" s="264"/>
      <c r="R2" s="264"/>
      <c r="S2" s="264"/>
      <c r="T2" s="264"/>
      <c r="U2" s="265"/>
      <c r="V2" s="264"/>
      <c r="W2" s="264"/>
      <c r="X2" s="264"/>
      <c r="Y2" s="264"/>
      <c r="Z2" s="264"/>
      <c r="AA2" s="264"/>
      <c r="AB2" s="264"/>
      <c r="AC2" s="264"/>
      <c r="AD2" s="264"/>
      <c r="AE2" s="264"/>
      <c r="AF2" s="264"/>
      <c r="AG2" s="264"/>
      <c r="AH2" s="264"/>
      <c r="AI2" s="264"/>
    </row>
    <row r="3" spans="1:35" ht="19.5" customHeight="1" x14ac:dyDescent="0.25">
      <c r="A3" s="499" t="s">
        <v>517</v>
      </c>
      <c r="B3" s="499"/>
      <c r="C3" s="499"/>
      <c r="D3" s="501" t="s">
        <v>602</v>
      </c>
      <c r="E3" s="501"/>
      <c r="F3" s="501"/>
      <c r="G3" s="501"/>
      <c r="H3" s="501"/>
      <c r="I3" s="501"/>
      <c r="J3" s="501"/>
      <c r="K3" s="501"/>
      <c r="L3" s="267"/>
      <c r="M3" s="264"/>
      <c r="N3" s="264"/>
      <c r="O3" s="264"/>
      <c r="P3" s="264"/>
      <c r="Q3" s="264"/>
      <c r="R3" s="264"/>
      <c r="S3" s="264"/>
      <c r="T3" s="264"/>
      <c r="U3" s="265"/>
      <c r="V3" s="264"/>
      <c r="W3" s="264"/>
      <c r="X3" s="264"/>
      <c r="Y3" s="264"/>
      <c r="Z3" s="264"/>
      <c r="AA3" s="264"/>
      <c r="AB3" s="264"/>
      <c r="AC3" s="264"/>
      <c r="AD3" s="264"/>
      <c r="AE3" s="264"/>
      <c r="AF3" s="264"/>
      <c r="AG3" s="264"/>
      <c r="AH3" s="264"/>
      <c r="AI3" s="264"/>
    </row>
    <row r="4" spans="1:35" ht="19.5" customHeight="1" x14ac:dyDescent="0.25">
      <c r="A4" s="499" t="s">
        <v>518</v>
      </c>
      <c r="B4" s="499"/>
      <c r="C4" s="499"/>
      <c r="D4" s="502">
        <v>43511</v>
      </c>
      <c r="E4" s="502"/>
      <c r="F4" s="502"/>
      <c r="G4" s="268" t="s">
        <v>519</v>
      </c>
      <c r="H4" s="500" t="str">
        <f>'[2]Dados do Licitante'!H4</f>
        <v>09h00</v>
      </c>
      <c r="I4" s="500"/>
      <c r="J4" s="500"/>
      <c r="K4" s="500"/>
      <c r="L4" s="266"/>
      <c r="M4" s="264"/>
      <c r="N4" s="264"/>
      <c r="O4" s="264"/>
      <c r="P4" s="264"/>
      <c r="Q4" s="264"/>
      <c r="R4" s="264"/>
      <c r="S4" s="264"/>
      <c r="T4" s="264"/>
      <c r="U4" s="265"/>
      <c r="V4" s="264"/>
      <c r="W4" s="264"/>
      <c r="X4" s="264"/>
      <c r="Y4" s="264"/>
      <c r="Z4" s="264"/>
      <c r="AA4" s="264"/>
      <c r="AB4" s="264"/>
      <c r="AC4" s="264"/>
      <c r="AD4" s="264"/>
      <c r="AE4" s="264"/>
      <c r="AF4" s="264"/>
      <c r="AG4" s="264"/>
      <c r="AH4" s="264"/>
      <c r="AI4" s="264"/>
    </row>
    <row r="5" spans="1:35" ht="19.5" customHeight="1" x14ac:dyDescent="0.25">
      <c r="A5" s="504"/>
      <c r="B5" s="504"/>
      <c r="C5" s="504"/>
      <c r="D5" s="504"/>
      <c r="E5" s="504"/>
      <c r="F5" s="504"/>
      <c r="G5" s="504"/>
      <c r="H5" s="504"/>
      <c r="I5" s="504"/>
      <c r="J5" s="504"/>
      <c r="K5" s="504"/>
      <c r="L5" s="269"/>
      <c r="M5" s="264"/>
      <c r="N5" s="264"/>
      <c r="O5" s="264"/>
      <c r="P5" s="264"/>
      <c r="Q5" s="264"/>
      <c r="R5" s="264"/>
      <c r="S5" s="264"/>
      <c r="T5" s="264"/>
      <c r="U5" s="265"/>
      <c r="V5" s="264"/>
      <c r="W5" s="264"/>
      <c r="X5" s="264"/>
      <c r="Y5" s="264"/>
      <c r="Z5" s="264"/>
      <c r="AA5" s="264"/>
      <c r="AB5" s="264"/>
      <c r="AC5" s="264"/>
      <c r="AD5" s="264"/>
      <c r="AE5" s="264"/>
      <c r="AF5" s="264"/>
      <c r="AG5" s="264"/>
      <c r="AH5" s="264"/>
      <c r="AI5" s="264"/>
    </row>
    <row r="6" spans="1:35" ht="19.5" customHeight="1" x14ac:dyDescent="0.25">
      <c r="A6" s="499" t="s">
        <v>520</v>
      </c>
      <c r="B6" s="499"/>
      <c r="C6" s="499"/>
      <c r="D6" s="505" t="str">
        <f>'[2]Dados do Licitante'!D1</f>
        <v>Prestação de serviços de limpeza e conservação</v>
      </c>
      <c r="E6" s="505"/>
      <c r="F6" s="505"/>
      <c r="G6" s="505"/>
      <c r="H6" s="505"/>
      <c r="I6" s="505"/>
      <c r="J6" s="505"/>
      <c r="K6" s="505"/>
      <c r="L6" s="270"/>
      <c r="M6" s="264"/>
      <c r="N6" s="264"/>
      <c r="O6" s="264"/>
      <c r="P6" s="264"/>
      <c r="Q6" s="264"/>
      <c r="R6" s="264"/>
      <c r="S6" s="264"/>
      <c r="T6" s="264"/>
      <c r="U6" s="265"/>
      <c r="V6" s="264"/>
      <c r="W6" s="264"/>
      <c r="X6" s="264"/>
      <c r="Y6" s="264"/>
      <c r="Z6" s="264"/>
      <c r="AA6" s="264"/>
      <c r="AB6" s="264"/>
      <c r="AC6" s="264"/>
      <c r="AD6" s="264"/>
      <c r="AE6" s="264"/>
      <c r="AF6" s="264"/>
      <c r="AG6" s="264"/>
      <c r="AH6" s="264"/>
      <c r="AI6" s="264"/>
    </row>
    <row r="7" spans="1:35" ht="39" customHeight="1" x14ac:dyDescent="0.25">
      <c r="A7" s="271" t="s">
        <v>521</v>
      </c>
      <c r="B7" s="506" t="s">
        <v>522</v>
      </c>
      <c r="C7" s="506"/>
      <c r="D7" s="506"/>
      <c r="E7" s="507" t="s">
        <v>616</v>
      </c>
      <c r="F7" s="508"/>
      <c r="G7" s="508"/>
      <c r="H7" s="508"/>
      <c r="I7" s="508"/>
      <c r="J7" s="508"/>
      <c r="K7" s="509"/>
      <c r="L7" s="272"/>
      <c r="M7" s="264"/>
      <c r="N7" s="264"/>
      <c r="O7" s="264"/>
      <c r="P7" s="264"/>
      <c r="Q7" s="264"/>
      <c r="R7" s="264"/>
      <c r="S7" s="264"/>
      <c r="T7" s="264"/>
      <c r="U7" s="265"/>
      <c r="V7" s="264"/>
      <c r="W7" s="264"/>
      <c r="X7" s="264"/>
      <c r="Y7" s="264"/>
      <c r="Z7" s="264"/>
      <c r="AA7" s="264"/>
      <c r="AB7" s="264"/>
      <c r="AC7" s="264"/>
      <c r="AD7" s="264"/>
      <c r="AE7" s="264"/>
      <c r="AF7" s="264"/>
      <c r="AG7" s="264"/>
      <c r="AH7" s="264"/>
      <c r="AI7" s="264"/>
    </row>
    <row r="8" spans="1:35" ht="19.5" customHeight="1" x14ac:dyDescent="0.25">
      <c r="A8" s="271" t="s">
        <v>521</v>
      </c>
      <c r="B8" s="503" t="s">
        <v>523</v>
      </c>
      <c r="C8" s="503"/>
      <c r="D8" s="503"/>
      <c r="E8" s="503"/>
      <c r="F8" s="503"/>
      <c r="G8" s="503"/>
      <c r="H8" s="503"/>
      <c r="I8" s="503"/>
      <c r="J8" s="503"/>
      <c r="K8" s="273">
        <f>'[2]Dados do Licitante'!E17</f>
        <v>12</v>
      </c>
      <c r="L8" s="274"/>
      <c r="M8" s="264"/>
      <c r="N8" s="264"/>
      <c r="O8" s="264"/>
      <c r="P8" s="264"/>
      <c r="Q8" s="264"/>
      <c r="R8" s="264"/>
      <c r="S8" s="264"/>
      <c r="T8" s="264"/>
      <c r="U8" s="265"/>
      <c r="V8" s="264"/>
      <c r="W8" s="264"/>
      <c r="X8" s="264"/>
      <c r="Y8" s="264"/>
      <c r="Z8" s="264"/>
      <c r="AA8" s="264"/>
      <c r="AB8" s="264"/>
      <c r="AC8" s="264"/>
      <c r="AD8" s="264"/>
      <c r="AE8" s="264"/>
      <c r="AF8" s="264"/>
      <c r="AG8" s="264"/>
      <c r="AH8" s="264"/>
      <c r="AI8" s="264"/>
    </row>
    <row r="9" spans="1:35" ht="44.25" customHeight="1" x14ac:dyDescent="0.25">
      <c r="A9" s="271" t="s">
        <v>521</v>
      </c>
      <c r="B9" s="503" t="s">
        <v>524</v>
      </c>
      <c r="C9" s="503"/>
      <c r="D9" s="503"/>
      <c r="E9" s="503"/>
      <c r="F9" s="503"/>
      <c r="G9" s="503"/>
      <c r="H9" s="503"/>
      <c r="I9" s="503"/>
      <c r="J9" s="503"/>
      <c r="K9" s="276" t="str">
        <f>'[2]Dados do Licitante'!E18</f>
        <v>metro quadrado (m²)</v>
      </c>
      <c r="L9" s="277"/>
      <c r="M9" s="264"/>
      <c r="N9" s="264"/>
      <c r="O9" s="264"/>
      <c r="P9" s="264"/>
      <c r="Q9" s="264"/>
      <c r="R9" s="264"/>
      <c r="S9" s="264"/>
      <c r="T9" s="264"/>
      <c r="U9" s="265"/>
      <c r="V9" s="264"/>
      <c r="W9" s="264"/>
      <c r="X9" s="264"/>
      <c r="Y9" s="264"/>
      <c r="Z9" s="264"/>
      <c r="AA9" s="264"/>
      <c r="AB9" s="264"/>
      <c r="AC9" s="264"/>
      <c r="AD9" s="264"/>
      <c r="AE9" s="264"/>
      <c r="AF9" s="264"/>
      <c r="AG9" s="264"/>
      <c r="AH9" s="264"/>
      <c r="AI9" s="264"/>
    </row>
    <row r="10" spans="1:35" ht="19.5" customHeight="1" x14ac:dyDescent="0.25">
      <c r="A10" s="499" t="s">
        <v>525</v>
      </c>
      <c r="B10" s="499"/>
      <c r="C10" s="499"/>
      <c r="D10" s="499"/>
      <c r="E10" s="499"/>
      <c r="F10" s="499"/>
      <c r="G10" s="499"/>
      <c r="H10" s="499"/>
      <c r="I10" s="499"/>
      <c r="J10" s="499"/>
      <c r="K10" s="499"/>
      <c r="L10" s="278"/>
      <c r="M10" s="264"/>
      <c r="N10" s="264"/>
      <c r="O10" s="264"/>
      <c r="P10" s="264"/>
      <c r="Q10" s="264"/>
      <c r="R10" s="264"/>
      <c r="S10" s="264"/>
      <c r="T10" s="264"/>
      <c r="U10" s="265"/>
      <c r="V10" s="264"/>
      <c r="W10" s="264"/>
      <c r="X10" s="264"/>
      <c r="Y10" s="264"/>
      <c r="Z10" s="264"/>
      <c r="AA10" s="264"/>
      <c r="AB10" s="264"/>
      <c r="AC10" s="264"/>
      <c r="AD10" s="264"/>
      <c r="AE10" s="264"/>
      <c r="AF10" s="264"/>
      <c r="AG10" s="264"/>
      <c r="AH10" s="264"/>
      <c r="AI10" s="264"/>
    </row>
    <row r="11" spans="1:35" ht="19.5" customHeight="1" x14ac:dyDescent="0.25">
      <c r="A11" s="331">
        <v>1</v>
      </c>
      <c r="B11" s="503" t="s">
        <v>526</v>
      </c>
      <c r="C11" s="503"/>
      <c r="D11" s="503"/>
      <c r="E11" s="503"/>
      <c r="F11" s="503"/>
      <c r="G11" s="503"/>
      <c r="H11" s="503"/>
      <c r="I11" s="503"/>
      <c r="J11" s="503"/>
      <c r="K11" s="280">
        <f>K17</f>
        <v>1047.9000000000001</v>
      </c>
      <c r="L11" s="281"/>
      <c r="M11" s="264"/>
      <c r="N11" s="264"/>
      <c r="O11" s="264"/>
      <c r="P11" s="264"/>
      <c r="Q11" s="264"/>
      <c r="R11" s="264"/>
      <c r="S11" s="264"/>
      <c r="T11" s="264"/>
      <c r="U11" s="265"/>
      <c r="V11" s="264"/>
      <c r="W11" s="264"/>
      <c r="X11" s="264"/>
      <c r="Y11" s="264"/>
      <c r="Z11" s="264"/>
      <c r="AA11" s="264"/>
      <c r="AB11" s="264"/>
      <c r="AC11" s="264"/>
      <c r="AD11" s="264"/>
      <c r="AE11" s="264"/>
      <c r="AF11" s="264"/>
      <c r="AG11" s="264"/>
      <c r="AH11" s="264"/>
      <c r="AI11" s="264"/>
    </row>
    <row r="12" spans="1:35" ht="32.25" customHeight="1" x14ac:dyDescent="0.25">
      <c r="A12" s="331">
        <v>2</v>
      </c>
      <c r="B12" s="503" t="s">
        <v>527</v>
      </c>
      <c r="C12" s="503"/>
      <c r="D12" s="503"/>
      <c r="E12" s="503"/>
      <c r="F12" s="503"/>
      <c r="G12" s="503"/>
      <c r="H12" s="503"/>
      <c r="I12" s="503"/>
      <c r="J12" s="503"/>
      <c r="K12" s="282"/>
      <c r="L12" s="277"/>
      <c r="M12" s="264"/>
      <c r="N12" s="264"/>
      <c r="O12" s="264"/>
      <c r="P12" s="264"/>
      <c r="Q12" s="264"/>
      <c r="R12" s="264"/>
      <c r="S12" s="264"/>
      <c r="T12" s="264"/>
      <c r="U12" s="265"/>
      <c r="V12" s="264"/>
      <c r="W12" s="264"/>
      <c r="X12" s="264"/>
      <c r="Y12" s="264"/>
      <c r="Z12" s="264"/>
      <c r="AA12" s="264"/>
      <c r="AB12" s="264"/>
      <c r="AC12" s="264"/>
      <c r="AD12" s="264"/>
      <c r="AE12" s="264"/>
      <c r="AF12" s="264"/>
      <c r="AG12" s="264"/>
      <c r="AH12" s="264"/>
      <c r="AI12" s="264"/>
    </row>
    <row r="13" spans="1:35" ht="19.5" customHeight="1" x14ac:dyDescent="0.25">
      <c r="A13" s="331">
        <v>3</v>
      </c>
      <c r="B13" s="503" t="s">
        <v>528</v>
      </c>
      <c r="C13" s="503"/>
      <c r="D13" s="503"/>
      <c r="E13" s="503"/>
      <c r="F13" s="503"/>
      <c r="G13" s="503"/>
      <c r="H13" s="503"/>
      <c r="I13" s="503"/>
      <c r="J13" s="503"/>
      <c r="K13" s="283">
        <f>'[2]Dados do Licitante'!F25</f>
        <v>43101</v>
      </c>
      <c r="L13" s="284"/>
      <c r="M13" s="264"/>
      <c r="N13" s="264"/>
      <c r="O13" s="264"/>
      <c r="P13" s="264"/>
      <c r="Q13" s="264"/>
      <c r="R13" s="264"/>
      <c r="S13" s="264"/>
      <c r="T13" s="264"/>
      <c r="U13" s="265"/>
      <c r="V13" s="264"/>
      <c r="W13" s="264"/>
      <c r="X13" s="264"/>
      <c r="Y13" s="264"/>
      <c r="Z13" s="264"/>
      <c r="AA13" s="264"/>
      <c r="AB13" s="264"/>
      <c r="AC13" s="264"/>
      <c r="AD13" s="264"/>
      <c r="AE13" s="264"/>
      <c r="AF13" s="264"/>
      <c r="AG13" s="264"/>
      <c r="AH13" s="264"/>
      <c r="AI13" s="264"/>
    </row>
    <row r="14" spans="1:35" ht="19.5" customHeight="1" x14ac:dyDescent="0.25">
      <c r="A14" s="331">
        <v>4</v>
      </c>
      <c r="B14" s="503" t="s">
        <v>529</v>
      </c>
      <c r="C14" s="503"/>
      <c r="D14" s="503"/>
      <c r="E14" s="503"/>
      <c r="F14" s="503"/>
      <c r="G14" s="503"/>
      <c r="H14" s="503"/>
      <c r="I14" s="503"/>
      <c r="J14" s="503"/>
      <c r="K14" s="285" t="str">
        <f>'[2]Dados do Licitante'!F27</f>
        <v>5143-20</v>
      </c>
      <c r="L14" s="284"/>
      <c r="M14" s="264"/>
      <c r="N14" s="264"/>
      <c r="O14" s="264"/>
      <c r="P14" s="264"/>
      <c r="Q14" s="264"/>
      <c r="R14" s="264"/>
      <c r="S14" s="264"/>
      <c r="T14" s="264"/>
      <c r="U14" s="265"/>
      <c r="V14" s="264"/>
      <c r="W14" s="264"/>
      <c r="X14" s="264"/>
      <c r="Y14" s="264"/>
      <c r="Z14" s="264"/>
      <c r="AA14" s="264"/>
      <c r="AB14" s="264"/>
      <c r="AC14" s="264"/>
      <c r="AD14" s="264"/>
      <c r="AE14" s="264"/>
      <c r="AF14" s="264"/>
      <c r="AG14" s="264"/>
      <c r="AH14" s="264"/>
      <c r="AI14" s="264"/>
    </row>
    <row r="15" spans="1:35" ht="19.5" customHeight="1" x14ac:dyDescent="0.25">
      <c r="A15" s="286"/>
      <c r="B15" s="275"/>
      <c r="C15" s="275"/>
      <c r="D15" s="275"/>
      <c r="E15" s="275"/>
      <c r="F15" s="275"/>
      <c r="G15" s="275"/>
      <c r="H15" s="275"/>
      <c r="I15" s="275"/>
      <c r="J15" s="275"/>
      <c r="K15" s="286"/>
      <c r="L15" s="286"/>
      <c r="M15" s="264"/>
      <c r="N15" s="264"/>
      <c r="O15" s="264"/>
      <c r="P15" s="264"/>
      <c r="Q15" s="264"/>
      <c r="R15" s="264"/>
      <c r="S15" s="264"/>
      <c r="T15" s="264"/>
      <c r="U15" s="265"/>
      <c r="V15" s="264"/>
      <c r="W15" s="264"/>
      <c r="X15" s="264"/>
      <c r="Y15" s="264"/>
      <c r="Z15" s="264"/>
      <c r="AA15" s="264"/>
      <c r="AB15" s="264"/>
      <c r="AC15" s="264"/>
      <c r="AD15" s="264"/>
      <c r="AE15" s="264"/>
      <c r="AF15" s="264"/>
      <c r="AG15" s="264"/>
      <c r="AH15" s="264"/>
      <c r="AI15" s="264"/>
    </row>
    <row r="16" spans="1:35" ht="25.5" customHeight="1" x14ac:dyDescent="0.25">
      <c r="A16" s="513" t="s">
        <v>530</v>
      </c>
      <c r="B16" s="513"/>
      <c r="C16" s="513"/>
      <c r="D16" s="513"/>
      <c r="E16" s="513"/>
      <c r="F16" s="513"/>
      <c r="G16" s="513"/>
      <c r="H16" s="513"/>
      <c r="I16" s="513"/>
      <c r="J16" s="513"/>
      <c r="K16" s="287"/>
      <c r="L16" s="287">
        <f>'[2]Áreas, Produtiv. e Funcionários'!I22</f>
        <v>0</v>
      </c>
      <c r="M16" s="287">
        <f>'[2]Áreas, Produtiv. e Funcionários'!M22</f>
        <v>0</v>
      </c>
      <c r="N16" s="287">
        <f>'[2]Áreas, Produtiv. e Funcionários'!Q22</f>
        <v>0</v>
      </c>
      <c r="O16" s="287">
        <f>'[2]Áreas, Produtiv. e Funcionários'!U22</f>
        <v>0</v>
      </c>
      <c r="P16" s="287">
        <f>'[2]Áreas, Produtiv. e Funcionários'!Y22</f>
        <v>0</v>
      </c>
      <c r="Q16" s="287">
        <f>'[2]Áreas, Produtiv. e Funcionários'!AC22</f>
        <v>0</v>
      </c>
      <c r="R16" s="287">
        <f>'[2]Áreas, Produtiv. e Funcionários'!AG22</f>
        <v>0</v>
      </c>
      <c r="S16" s="287">
        <f>'[2]Áreas, Produtiv. e Funcionários'!AK22</f>
        <v>0</v>
      </c>
      <c r="T16" s="287">
        <f>'[2]Áreas, Produtiv. e Funcionários'!AO22</f>
        <v>0</v>
      </c>
      <c r="U16" s="265"/>
      <c r="V16" s="264"/>
      <c r="W16" s="264"/>
      <c r="X16" s="264"/>
      <c r="Y16" s="264"/>
      <c r="Z16" s="264"/>
      <c r="AA16" s="264"/>
      <c r="AB16" s="264"/>
      <c r="AC16" s="264"/>
      <c r="AD16" s="264"/>
      <c r="AE16" s="264"/>
      <c r="AF16" s="264"/>
      <c r="AG16" s="264"/>
      <c r="AH16" s="264"/>
      <c r="AI16" s="264"/>
    </row>
    <row r="17" spans="1:35" ht="19.5" customHeight="1" x14ac:dyDescent="0.25">
      <c r="A17" s="331" t="s">
        <v>3</v>
      </c>
      <c r="B17" s="503" t="s">
        <v>25</v>
      </c>
      <c r="C17" s="503"/>
      <c r="D17" s="503"/>
      <c r="E17" s="503"/>
      <c r="F17" s="503"/>
      <c r="G17" s="503"/>
      <c r="H17" s="503"/>
      <c r="I17" s="503"/>
      <c r="J17" s="503"/>
      <c r="K17" s="288">
        <v>1047.9000000000001</v>
      </c>
      <c r="L17" s="288">
        <f>IF(L16&lt;&gt;0,$K$11,0)</f>
        <v>0</v>
      </c>
      <c r="M17" s="288">
        <f t="shared" ref="M17:T17" si="0">IF(M16&lt;&gt;0,$K$11,0)</f>
        <v>0</v>
      </c>
      <c r="N17" s="288">
        <f t="shared" si="0"/>
        <v>0</v>
      </c>
      <c r="O17" s="288">
        <f t="shared" si="0"/>
        <v>0</v>
      </c>
      <c r="P17" s="288">
        <f t="shared" si="0"/>
        <v>0</v>
      </c>
      <c r="Q17" s="288">
        <f t="shared" si="0"/>
        <v>0</v>
      </c>
      <c r="R17" s="288">
        <f t="shared" si="0"/>
        <v>0</v>
      </c>
      <c r="S17" s="288">
        <f t="shared" si="0"/>
        <v>0</v>
      </c>
      <c r="T17" s="288">
        <f t="shared" si="0"/>
        <v>0</v>
      </c>
      <c r="U17" s="265"/>
      <c r="V17" s="264"/>
      <c r="W17" s="264"/>
      <c r="X17" s="264"/>
      <c r="Y17" s="139"/>
      <c r="Z17" s="264"/>
      <c r="AA17" s="264"/>
      <c r="AB17" s="264"/>
      <c r="AC17" s="264"/>
      <c r="AD17" s="264"/>
      <c r="AE17" s="264"/>
      <c r="AF17" s="264"/>
      <c r="AG17" s="264"/>
      <c r="AH17" s="264"/>
      <c r="AI17" s="264"/>
    </row>
    <row r="18" spans="1:35" ht="19.5" customHeight="1" x14ac:dyDescent="0.25">
      <c r="A18" s="331" t="s">
        <v>5</v>
      </c>
      <c r="B18" s="514" t="s">
        <v>531</v>
      </c>
      <c r="C18" s="515"/>
      <c r="D18" s="516"/>
      <c r="E18" s="514" t="s">
        <v>532</v>
      </c>
      <c r="F18" s="515"/>
      <c r="G18" s="516"/>
      <c r="H18" s="517" t="s">
        <v>533</v>
      </c>
      <c r="I18" s="518"/>
      <c r="J18" s="289">
        <v>2</v>
      </c>
      <c r="K18" s="280">
        <f>IF($J$18=1,K17*0.3,0)</f>
        <v>0</v>
      </c>
      <c r="L18" s="280">
        <f>IF($J$18=1,L17*0.3,0)</f>
        <v>0</v>
      </c>
      <c r="M18" s="280">
        <f t="shared" ref="M18:T18" si="1">IF($J$18=1,M17*0.3,0)</f>
        <v>0</v>
      </c>
      <c r="N18" s="280">
        <f t="shared" si="1"/>
        <v>0</v>
      </c>
      <c r="O18" s="280">
        <f t="shared" si="1"/>
        <v>0</v>
      </c>
      <c r="P18" s="280">
        <f t="shared" si="1"/>
        <v>0</v>
      </c>
      <c r="Q18" s="280">
        <f t="shared" si="1"/>
        <v>0</v>
      </c>
      <c r="R18" s="280">
        <f t="shared" si="1"/>
        <v>0</v>
      </c>
      <c r="S18" s="280">
        <f t="shared" si="1"/>
        <v>0</v>
      </c>
      <c r="T18" s="280">
        <f t="shared" si="1"/>
        <v>0</v>
      </c>
      <c r="U18" s="265"/>
      <c r="V18" s="264"/>
      <c r="W18" s="264"/>
      <c r="X18" s="264"/>
      <c r="Y18" s="139"/>
      <c r="Z18" s="264"/>
      <c r="AA18" s="264"/>
      <c r="AB18" s="264"/>
      <c r="AC18" s="264"/>
      <c r="AD18" s="264"/>
      <c r="AE18" s="264"/>
      <c r="AF18" s="264"/>
      <c r="AG18" s="264"/>
      <c r="AH18" s="264"/>
      <c r="AI18" s="264"/>
    </row>
    <row r="19" spans="1:35" ht="19.5" customHeight="1" x14ac:dyDescent="0.25">
      <c r="A19" s="331" t="s">
        <v>6</v>
      </c>
      <c r="B19" s="510" t="s">
        <v>600</v>
      </c>
      <c r="C19" s="510"/>
      <c r="D19" s="510"/>
      <c r="E19" s="510"/>
      <c r="F19" s="510"/>
      <c r="G19" s="510"/>
      <c r="H19" s="510"/>
      <c r="I19" s="510"/>
      <c r="J19" s="510"/>
      <c r="K19" s="288">
        <v>40.39</v>
      </c>
      <c r="L19" s="288"/>
      <c r="M19" s="338"/>
      <c r="N19" s="338"/>
      <c r="O19" s="338"/>
      <c r="P19" s="338"/>
      <c r="Q19" s="338"/>
      <c r="R19" s="338"/>
      <c r="S19" s="338"/>
      <c r="T19" s="338"/>
      <c r="U19" s="265"/>
      <c r="V19" s="264"/>
      <c r="W19" s="264"/>
      <c r="X19" s="264"/>
      <c r="Y19" s="264"/>
      <c r="Z19" s="264"/>
      <c r="AA19" s="264"/>
      <c r="AB19" s="264"/>
      <c r="AC19" s="264"/>
      <c r="AD19" s="264"/>
      <c r="AE19" s="264"/>
      <c r="AF19" s="264"/>
      <c r="AG19" s="264"/>
      <c r="AH19" s="264"/>
      <c r="AI19" s="264"/>
    </row>
    <row r="20" spans="1:35" ht="19.5" customHeight="1" x14ac:dyDescent="0.25">
      <c r="A20" s="331" t="s">
        <v>8</v>
      </c>
      <c r="B20" s="503" t="s">
        <v>534</v>
      </c>
      <c r="C20" s="503"/>
      <c r="D20" s="503"/>
      <c r="E20" s="503"/>
      <c r="F20" s="503"/>
      <c r="G20" s="503"/>
      <c r="H20" s="503"/>
      <c r="I20" s="503"/>
      <c r="J20" s="503"/>
      <c r="K20" s="288"/>
      <c r="L20" s="288"/>
      <c r="M20" s="338"/>
      <c r="N20" s="338"/>
      <c r="O20" s="338"/>
      <c r="P20" s="338"/>
      <c r="Q20" s="338"/>
      <c r="R20" s="338"/>
      <c r="S20" s="338"/>
      <c r="T20" s="338"/>
      <c r="U20" s="265"/>
      <c r="V20" s="264"/>
      <c r="W20" s="264"/>
      <c r="X20" s="264"/>
      <c r="Y20" s="264"/>
      <c r="Z20" s="264"/>
      <c r="AA20" s="264"/>
      <c r="AB20" s="264"/>
      <c r="AC20" s="264"/>
      <c r="AD20" s="264"/>
      <c r="AE20" s="264"/>
      <c r="AF20" s="264"/>
      <c r="AG20" s="264"/>
      <c r="AH20" s="264"/>
      <c r="AI20" s="264"/>
    </row>
    <row r="21" spans="1:35" ht="19.5" customHeight="1" x14ac:dyDescent="0.25">
      <c r="A21" s="331" t="s">
        <v>10</v>
      </c>
      <c r="B21" s="503" t="s">
        <v>535</v>
      </c>
      <c r="C21" s="503"/>
      <c r="D21" s="503"/>
      <c r="E21" s="503"/>
      <c r="F21" s="503"/>
      <c r="G21" s="503"/>
      <c r="H21" s="503"/>
      <c r="I21" s="503"/>
      <c r="J21" s="503"/>
      <c r="K21" s="288"/>
      <c r="L21" s="288"/>
      <c r="M21" s="338"/>
      <c r="N21" s="338"/>
      <c r="O21" s="338"/>
      <c r="P21" s="338"/>
      <c r="Q21" s="338"/>
      <c r="R21" s="338"/>
      <c r="S21" s="338"/>
      <c r="T21" s="338"/>
      <c r="U21" s="265"/>
      <c r="V21" s="264"/>
      <c r="W21" s="264"/>
      <c r="X21" s="264"/>
      <c r="Y21" s="264"/>
      <c r="Z21" s="264"/>
      <c r="AA21" s="264"/>
      <c r="AB21" s="264"/>
      <c r="AC21" s="264"/>
      <c r="AD21" s="264"/>
      <c r="AE21" s="264"/>
      <c r="AF21" s="264"/>
      <c r="AG21" s="264"/>
      <c r="AH21" s="264"/>
      <c r="AI21" s="264"/>
    </row>
    <row r="22" spans="1:35" ht="19.5" customHeight="1" x14ac:dyDescent="0.25">
      <c r="A22" s="331" t="s">
        <v>12</v>
      </c>
      <c r="B22" s="503" t="s">
        <v>28</v>
      </c>
      <c r="C22" s="503"/>
      <c r="D22" s="503"/>
      <c r="E22" s="503"/>
      <c r="F22" s="503"/>
      <c r="G22" s="503"/>
      <c r="H22" s="503"/>
      <c r="I22" s="503"/>
      <c r="J22" s="503"/>
      <c r="K22" s="288"/>
      <c r="L22" s="288"/>
      <c r="M22" s="338"/>
      <c r="N22" s="338"/>
      <c r="O22" s="338"/>
      <c r="P22" s="338"/>
      <c r="Q22" s="338"/>
      <c r="R22" s="338"/>
      <c r="S22" s="338"/>
      <c r="T22" s="338"/>
      <c r="U22" s="265"/>
      <c r="V22" s="264"/>
      <c r="W22" s="264"/>
      <c r="X22" s="264"/>
      <c r="Y22" s="264"/>
      <c r="Z22" s="264"/>
      <c r="AA22" s="264"/>
      <c r="AB22" s="264"/>
      <c r="AC22" s="264"/>
      <c r="AD22" s="264"/>
      <c r="AE22" s="264"/>
      <c r="AF22" s="264"/>
      <c r="AG22" s="264"/>
      <c r="AH22" s="264"/>
      <c r="AI22" s="264"/>
    </row>
    <row r="23" spans="1:35" ht="19.5" customHeight="1" x14ac:dyDescent="0.25">
      <c r="A23" s="511" t="s">
        <v>536</v>
      </c>
      <c r="B23" s="511"/>
      <c r="C23" s="511"/>
      <c r="D23" s="511"/>
      <c r="E23" s="511"/>
      <c r="F23" s="511"/>
      <c r="G23" s="511"/>
      <c r="H23" s="511"/>
      <c r="I23" s="511"/>
      <c r="J23" s="511"/>
      <c r="K23" s="290">
        <f>SUM(K17:K22)</f>
        <v>1088.29</v>
      </c>
      <c r="L23" s="290">
        <f t="shared" ref="L23:T23" si="2">IF(L16=0,0,SUM(L17:L22))</f>
        <v>0</v>
      </c>
      <c r="M23" s="290">
        <f t="shared" si="2"/>
        <v>0</v>
      </c>
      <c r="N23" s="290">
        <f t="shared" si="2"/>
        <v>0</v>
      </c>
      <c r="O23" s="290">
        <f t="shared" si="2"/>
        <v>0</v>
      </c>
      <c r="P23" s="290">
        <f t="shared" si="2"/>
        <v>0</v>
      </c>
      <c r="Q23" s="290">
        <f t="shared" si="2"/>
        <v>0</v>
      </c>
      <c r="R23" s="290">
        <f t="shared" si="2"/>
        <v>0</v>
      </c>
      <c r="S23" s="290">
        <f t="shared" si="2"/>
        <v>0</v>
      </c>
      <c r="T23" s="290">
        <f t="shared" si="2"/>
        <v>0</v>
      </c>
      <c r="U23" s="265"/>
      <c r="V23" s="264"/>
      <c r="W23" s="264"/>
      <c r="X23" s="264"/>
      <c r="Y23" s="264"/>
      <c r="Z23" s="264"/>
      <c r="AA23" s="264"/>
      <c r="AB23" s="264"/>
      <c r="AC23" s="264"/>
      <c r="AD23" s="264"/>
      <c r="AE23" s="264"/>
      <c r="AF23" s="264"/>
      <c r="AG23" s="264"/>
      <c r="AH23" s="264"/>
      <c r="AI23" s="264"/>
    </row>
    <row r="24" spans="1:35" ht="19.5" customHeight="1" x14ac:dyDescent="0.25">
      <c r="A24" s="512"/>
      <c r="B24" s="512"/>
      <c r="C24" s="512"/>
      <c r="D24" s="512"/>
      <c r="E24" s="512"/>
      <c r="F24" s="512"/>
      <c r="G24" s="512"/>
      <c r="H24" s="512"/>
      <c r="I24" s="512"/>
      <c r="J24" s="512"/>
      <c r="K24" s="512"/>
      <c r="L24" s="512"/>
      <c r="M24" s="512"/>
      <c r="N24" s="512"/>
      <c r="O24" s="512"/>
      <c r="P24" s="512"/>
      <c r="Q24" s="512"/>
      <c r="R24" s="512"/>
      <c r="S24" s="512"/>
      <c r="T24" s="512"/>
      <c r="U24" s="265"/>
      <c r="V24" s="264"/>
      <c r="W24" s="264"/>
      <c r="X24" s="264"/>
      <c r="Y24" s="264"/>
      <c r="Z24" s="264"/>
      <c r="AA24" s="264"/>
      <c r="AB24" s="264"/>
      <c r="AC24" s="264"/>
      <c r="AD24" s="264"/>
      <c r="AE24" s="264"/>
      <c r="AF24" s="264"/>
      <c r="AG24" s="264"/>
      <c r="AH24" s="264"/>
      <c r="AI24" s="264"/>
    </row>
    <row r="25" spans="1:35" ht="19.5" customHeight="1" x14ac:dyDescent="0.25">
      <c r="A25" s="513" t="s">
        <v>537</v>
      </c>
      <c r="B25" s="513"/>
      <c r="C25" s="513"/>
      <c r="D25" s="513"/>
      <c r="E25" s="513"/>
      <c r="F25" s="513"/>
      <c r="G25" s="513"/>
      <c r="H25" s="513"/>
      <c r="I25" s="513"/>
      <c r="J25" s="513"/>
      <c r="K25" s="519"/>
      <c r="L25" s="519">
        <f t="shared" ref="L25:T25" si="3">L16</f>
        <v>0</v>
      </c>
      <c r="M25" s="519">
        <f t="shared" si="3"/>
        <v>0</v>
      </c>
      <c r="N25" s="519">
        <f t="shared" si="3"/>
        <v>0</v>
      </c>
      <c r="O25" s="519">
        <f t="shared" si="3"/>
        <v>0</v>
      </c>
      <c r="P25" s="519">
        <f t="shared" si="3"/>
        <v>0</v>
      </c>
      <c r="Q25" s="519">
        <f t="shared" si="3"/>
        <v>0</v>
      </c>
      <c r="R25" s="519">
        <f t="shared" si="3"/>
        <v>0</v>
      </c>
      <c r="S25" s="519">
        <f t="shared" si="3"/>
        <v>0</v>
      </c>
      <c r="T25" s="519">
        <f t="shared" si="3"/>
        <v>0</v>
      </c>
      <c r="U25" s="265"/>
      <c r="V25" s="264"/>
      <c r="W25" s="264"/>
      <c r="X25" s="264"/>
      <c r="Y25" s="264"/>
      <c r="Z25" s="264"/>
      <c r="AA25" s="264"/>
      <c r="AB25" s="264"/>
      <c r="AC25" s="264"/>
      <c r="AD25" s="264"/>
      <c r="AE25" s="264"/>
      <c r="AF25" s="264"/>
      <c r="AG25" s="264"/>
      <c r="AH25" s="264"/>
      <c r="AI25" s="264"/>
    </row>
    <row r="26" spans="1:35" ht="19.5" customHeight="1" x14ac:dyDescent="0.25">
      <c r="A26" s="521" t="s">
        <v>538</v>
      </c>
      <c r="B26" s="521"/>
      <c r="C26" s="521"/>
      <c r="D26" s="521"/>
      <c r="E26" s="521"/>
      <c r="F26" s="521"/>
      <c r="G26" s="521"/>
      <c r="H26" s="521"/>
      <c r="I26" s="521"/>
      <c r="J26" s="521"/>
      <c r="K26" s="520"/>
      <c r="L26" s="520"/>
      <c r="M26" s="520"/>
      <c r="N26" s="520"/>
      <c r="O26" s="520"/>
      <c r="P26" s="520"/>
      <c r="Q26" s="520"/>
      <c r="R26" s="520"/>
      <c r="S26" s="520"/>
      <c r="T26" s="520"/>
      <c r="U26" s="265"/>
      <c r="V26" s="264"/>
      <c r="W26" s="264"/>
      <c r="X26" s="264"/>
      <c r="Y26" s="264"/>
      <c r="Z26" s="264"/>
      <c r="AA26" s="264"/>
      <c r="AB26" s="264"/>
      <c r="AC26" s="264"/>
      <c r="AD26" s="264"/>
      <c r="AE26" s="264"/>
      <c r="AF26" s="264"/>
      <c r="AG26" s="264"/>
      <c r="AH26" s="264"/>
      <c r="AI26" s="264"/>
    </row>
    <row r="27" spans="1:35" ht="19.5" customHeight="1" x14ac:dyDescent="0.25">
      <c r="A27" s="331" t="s">
        <v>3</v>
      </c>
      <c r="B27" s="523" t="s">
        <v>539</v>
      </c>
      <c r="C27" s="523"/>
      <c r="D27" s="523"/>
      <c r="E27" s="523"/>
      <c r="F27" s="523"/>
      <c r="G27" s="523"/>
      <c r="H27" s="523"/>
      <c r="I27" s="523"/>
      <c r="J27" s="291">
        <v>8.3299999999999999E-2</v>
      </c>
      <c r="K27" s="288">
        <f>K23*$J$27</f>
        <v>90.65</v>
      </c>
      <c r="L27" s="288">
        <f t="shared" ref="L27:T27" si="4">L23*$J$27</f>
        <v>0</v>
      </c>
      <c r="M27" s="288">
        <f t="shared" si="4"/>
        <v>0</v>
      </c>
      <c r="N27" s="288">
        <f t="shared" si="4"/>
        <v>0</v>
      </c>
      <c r="O27" s="288">
        <f t="shared" si="4"/>
        <v>0</v>
      </c>
      <c r="P27" s="288">
        <f t="shared" si="4"/>
        <v>0</v>
      </c>
      <c r="Q27" s="288">
        <f t="shared" si="4"/>
        <v>0</v>
      </c>
      <c r="R27" s="288">
        <f t="shared" si="4"/>
        <v>0</v>
      </c>
      <c r="S27" s="288">
        <f t="shared" si="4"/>
        <v>0</v>
      </c>
      <c r="T27" s="288">
        <f t="shared" si="4"/>
        <v>0</v>
      </c>
      <c r="U27" s="265"/>
      <c r="V27" s="264"/>
      <c r="W27" s="264"/>
      <c r="X27" s="264"/>
      <c r="Y27" s="264"/>
      <c r="Z27" s="264"/>
      <c r="AA27" s="264"/>
      <c r="AB27" s="264"/>
      <c r="AC27" s="264"/>
      <c r="AD27" s="264"/>
      <c r="AE27" s="264"/>
      <c r="AF27" s="264"/>
      <c r="AG27" s="264"/>
      <c r="AH27" s="264"/>
      <c r="AI27" s="264"/>
    </row>
    <row r="28" spans="1:35" ht="19.5" customHeight="1" x14ac:dyDescent="0.25">
      <c r="A28" s="331" t="s">
        <v>5</v>
      </c>
      <c r="B28" s="501" t="s">
        <v>540</v>
      </c>
      <c r="C28" s="501"/>
      <c r="D28" s="501"/>
      <c r="E28" s="501"/>
      <c r="F28" s="501"/>
      <c r="G28" s="501"/>
      <c r="H28" s="501"/>
      <c r="I28" s="501"/>
      <c r="J28" s="291">
        <v>3.0300000000000001E-2</v>
      </c>
      <c r="K28" s="288">
        <f>K23*$J$28</f>
        <v>32.979999999999997</v>
      </c>
      <c r="L28" s="288">
        <f t="shared" ref="L28:T28" si="5">L23*$J$28</f>
        <v>0</v>
      </c>
      <c r="M28" s="288">
        <f t="shared" si="5"/>
        <v>0</v>
      </c>
      <c r="N28" s="288">
        <f t="shared" si="5"/>
        <v>0</v>
      </c>
      <c r="O28" s="288">
        <f t="shared" si="5"/>
        <v>0</v>
      </c>
      <c r="P28" s="288">
        <f t="shared" si="5"/>
        <v>0</v>
      </c>
      <c r="Q28" s="288">
        <f t="shared" si="5"/>
        <v>0</v>
      </c>
      <c r="R28" s="288">
        <f t="shared" si="5"/>
        <v>0</v>
      </c>
      <c r="S28" s="288">
        <f t="shared" si="5"/>
        <v>0</v>
      </c>
      <c r="T28" s="288">
        <f t="shared" si="5"/>
        <v>0</v>
      </c>
      <c r="U28" s="265"/>
      <c r="V28" s="264"/>
      <c r="W28" s="264"/>
      <c r="X28" s="264"/>
      <c r="Y28" s="264"/>
      <c r="Z28" s="264"/>
      <c r="AA28" s="264"/>
      <c r="AB28" s="264"/>
      <c r="AC28" s="264"/>
      <c r="AD28" s="264"/>
      <c r="AE28" s="264"/>
      <c r="AF28" s="264"/>
      <c r="AG28" s="264"/>
      <c r="AH28" s="264"/>
      <c r="AI28" s="264"/>
    </row>
    <row r="29" spans="1:35" ht="19.5" customHeight="1" x14ac:dyDescent="0.25">
      <c r="A29" s="334"/>
      <c r="B29" s="524"/>
      <c r="C29" s="524"/>
      <c r="D29" s="524"/>
      <c r="E29" s="524"/>
      <c r="F29" s="524"/>
      <c r="G29" s="524"/>
      <c r="H29" s="524"/>
      <c r="I29" s="524"/>
      <c r="J29" s="293">
        <f>J27+J28</f>
        <v>0.11360000000000001</v>
      </c>
      <c r="K29" s="294">
        <f>K23*$J$29</f>
        <v>123.63</v>
      </c>
      <c r="L29" s="294">
        <f t="shared" ref="L29:T29" si="6">L23*$J$29</f>
        <v>0</v>
      </c>
      <c r="M29" s="294">
        <f t="shared" si="6"/>
        <v>0</v>
      </c>
      <c r="N29" s="294">
        <f t="shared" si="6"/>
        <v>0</v>
      </c>
      <c r="O29" s="294">
        <f t="shared" si="6"/>
        <v>0</v>
      </c>
      <c r="P29" s="294">
        <f t="shared" si="6"/>
        <v>0</v>
      </c>
      <c r="Q29" s="294">
        <f t="shared" si="6"/>
        <v>0</v>
      </c>
      <c r="R29" s="294">
        <f t="shared" si="6"/>
        <v>0</v>
      </c>
      <c r="S29" s="294">
        <f t="shared" si="6"/>
        <v>0</v>
      </c>
      <c r="T29" s="294">
        <f t="shared" si="6"/>
        <v>0</v>
      </c>
      <c r="U29" s="265"/>
      <c r="V29" s="264"/>
      <c r="W29" s="264"/>
      <c r="X29" s="264"/>
      <c r="Y29" s="264"/>
      <c r="Z29" s="264"/>
      <c r="AA29" s="264"/>
      <c r="AB29" s="264"/>
      <c r="AC29" s="264"/>
      <c r="AD29" s="264"/>
      <c r="AE29" s="264"/>
      <c r="AF29" s="264"/>
      <c r="AG29" s="264"/>
      <c r="AH29" s="264"/>
      <c r="AI29" s="264"/>
    </row>
    <row r="30" spans="1:35" ht="19.5" customHeight="1" x14ac:dyDescent="0.25">
      <c r="A30" s="512"/>
      <c r="B30" s="512"/>
      <c r="C30" s="512"/>
      <c r="D30" s="512"/>
      <c r="E30" s="512"/>
      <c r="F30" s="512"/>
      <c r="G30" s="512"/>
      <c r="H30" s="512"/>
      <c r="I30" s="512"/>
      <c r="J30" s="512"/>
      <c r="K30" s="512"/>
      <c r="L30" s="265"/>
      <c r="M30" s="264"/>
      <c r="N30" s="264"/>
      <c r="O30" s="264"/>
      <c r="P30" s="264"/>
      <c r="Q30" s="264"/>
      <c r="R30" s="264"/>
      <c r="S30" s="264"/>
      <c r="T30" s="264"/>
      <c r="U30" s="265"/>
      <c r="V30" s="264"/>
      <c r="W30" s="264"/>
      <c r="X30" s="264"/>
      <c r="Y30" s="264"/>
      <c r="Z30" s="264"/>
      <c r="AA30" s="264"/>
      <c r="AB30" s="264"/>
      <c r="AC30" s="264"/>
      <c r="AD30" s="264"/>
      <c r="AE30" s="264"/>
      <c r="AF30" s="264"/>
      <c r="AG30" s="264"/>
      <c r="AH30" s="264"/>
      <c r="AI30" s="264"/>
    </row>
    <row r="31" spans="1:35" ht="25.5" customHeight="1" x14ac:dyDescent="0.25">
      <c r="A31" s="525" t="s">
        <v>541</v>
      </c>
      <c r="B31" s="525"/>
      <c r="C31" s="525"/>
      <c r="D31" s="525"/>
      <c r="E31" s="525"/>
      <c r="F31" s="525"/>
      <c r="G31" s="525"/>
      <c r="H31" s="525"/>
      <c r="I31" s="525"/>
      <c r="J31" s="525"/>
      <c r="K31" s="336"/>
      <c r="L31" s="336">
        <f t="shared" ref="L31:T31" si="7">L25</f>
        <v>0</v>
      </c>
      <c r="M31" s="336">
        <f t="shared" si="7"/>
        <v>0</v>
      </c>
      <c r="N31" s="336">
        <f t="shared" si="7"/>
        <v>0</v>
      </c>
      <c r="O31" s="336">
        <f t="shared" si="7"/>
        <v>0</v>
      </c>
      <c r="P31" s="336">
        <f t="shared" si="7"/>
        <v>0</v>
      </c>
      <c r="Q31" s="336">
        <f t="shared" si="7"/>
        <v>0</v>
      </c>
      <c r="R31" s="336">
        <f t="shared" si="7"/>
        <v>0</v>
      </c>
      <c r="S31" s="336">
        <f t="shared" si="7"/>
        <v>0</v>
      </c>
      <c r="T31" s="336">
        <f t="shared" si="7"/>
        <v>0</v>
      </c>
      <c r="U31" s="265"/>
      <c r="V31" s="264"/>
      <c r="W31" s="264"/>
      <c r="X31" s="264"/>
      <c r="Y31" s="264"/>
      <c r="Z31" s="264"/>
      <c r="AA31" s="264"/>
      <c r="AB31" s="264"/>
      <c r="AC31" s="264"/>
      <c r="AD31" s="264"/>
      <c r="AE31" s="264"/>
      <c r="AF31" s="264"/>
      <c r="AG31" s="264"/>
      <c r="AH31" s="264"/>
      <c r="AI31" s="264"/>
    </row>
    <row r="32" spans="1:35" ht="19.5" customHeight="1" x14ac:dyDescent="0.25">
      <c r="A32" s="526" t="s">
        <v>542</v>
      </c>
      <c r="B32" s="526"/>
      <c r="C32" s="526"/>
      <c r="D32" s="526"/>
      <c r="E32" s="526"/>
      <c r="F32" s="526"/>
      <c r="G32" s="526"/>
      <c r="H32" s="526"/>
      <c r="I32" s="526"/>
      <c r="J32" s="526"/>
      <c r="K32" s="296">
        <f>K23+K29</f>
        <v>1211.92</v>
      </c>
      <c r="L32" s="296">
        <f t="shared" ref="L32:T32" si="8">L23+L29</f>
        <v>0</v>
      </c>
      <c r="M32" s="296">
        <f t="shared" si="8"/>
        <v>0</v>
      </c>
      <c r="N32" s="296">
        <f t="shared" si="8"/>
        <v>0</v>
      </c>
      <c r="O32" s="296">
        <f t="shared" si="8"/>
        <v>0</v>
      </c>
      <c r="P32" s="296">
        <f t="shared" si="8"/>
        <v>0</v>
      </c>
      <c r="Q32" s="296">
        <f t="shared" si="8"/>
        <v>0</v>
      </c>
      <c r="R32" s="296">
        <f t="shared" si="8"/>
        <v>0</v>
      </c>
      <c r="S32" s="296">
        <f t="shared" si="8"/>
        <v>0</v>
      </c>
      <c r="T32" s="296">
        <f t="shared" si="8"/>
        <v>0</v>
      </c>
      <c r="U32" s="265"/>
      <c r="V32" s="264"/>
      <c r="W32" s="264"/>
      <c r="X32" s="264"/>
      <c r="Y32" s="264"/>
      <c r="Z32" s="264"/>
      <c r="AA32" s="264"/>
      <c r="AB32" s="264"/>
      <c r="AC32" s="264"/>
      <c r="AD32" s="264"/>
      <c r="AE32" s="264"/>
      <c r="AF32" s="264"/>
      <c r="AG32" s="264"/>
      <c r="AH32" s="264"/>
      <c r="AI32" s="264"/>
    </row>
    <row r="33" spans="1:35" ht="19.5" customHeight="1" x14ac:dyDescent="0.25">
      <c r="A33" s="522" t="s">
        <v>543</v>
      </c>
      <c r="B33" s="522"/>
      <c r="C33" s="522"/>
      <c r="D33" s="522"/>
      <c r="E33" s="522"/>
      <c r="F33" s="522"/>
      <c r="G33" s="522"/>
      <c r="H33" s="522"/>
      <c r="I33" s="522"/>
      <c r="J33" s="297">
        <f>SUM(J34:J41)</f>
        <v>0.31</v>
      </c>
      <c r="K33" s="298">
        <f>K$32*$J33</f>
        <v>375.7</v>
      </c>
      <c r="L33" s="298">
        <f t="shared" ref="L33:T33" si="9">L$32*$J33</f>
        <v>0</v>
      </c>
      <c r="M33" s="298">
        <f t="shared" si="9"/>
        <v>0</v>
      </c>
      <c r="N33" s="298">
        <f t="shared" si="9"/>
        <v>0</v>
      </c>
      <c r="O33" s="298">
        <f t="shared" si="9"/>
        <v>0</v>
      </c>
      <c r="P33" s="298">
        <f t="shared" si="9"/>
        <v>0</v>
      </c>
      <c r="Q33" s="298">
        <f t="shared" si="9"/>
        <v>0</v>
      </c>
      <c r="R33" s="298">
        <f t="shared" si="9"/>
        <v>0</v>
      </c>
      <c r="S33" s="298">
        <f t="shared" si="9"/>
        <v>0</v>
      </c>
      <c r="T33" s="298">
        <f t="shared" si="9"/>
        <v>0</v>
      </c>
      <c r="U33" s="265"/>
      <c r="V33" s="264"/>
      <c r="W33" s="264"/>
      <c r="X33" s="264"/>
      <c r="Y33" s="264"/>
      <c r="Z33" s="264"/>
      <c r="AA33" s="264"/>
      <c r="AB33" s="264"/>
      <c r="AC33" s="264"/>
      <c r="AD33" s="264"/>
      <c r="AE33" s="264"/>
      <c r="AF33" s="264"/>
      <c r="AG33" s="264"/>
      <c r="AH33" s="264"/>
      <c r="AI33" s="264"/>
    </row>
    <row r="34" spans="1:35" ht="19.5" customHeight="1" x14ac:dyDescent="0.25">
      <c r="A34" s="331" t="s">
        <v>3</v>
      </c>
      <c r="B34" s="500" t="s">
        <v>52</v>
      </c>
      <c r="C34" s="500"/>
      <c r="D34" s="500"/>
      <c r="E34" s="500"/>
      <c r="F34" s="500"/>
      <c r="G34" s="500"/>
      <c r="H34" s="500"/>
      <c r="I34" s="500"/>
      <c r="J34" s="299">
        <v>0.2</v>
      </c>
      <c r="K34" s="298">
        <f t="shared" ref="K34:T41" si="10">K$32*$J34</f>
        <v>242.38</v>
      </c>
      <c r="L34" s="298">
        <f t="shared" si="10"/>
        <v>0</v>
      </c>
      <c r="M34" s="298">
        <f t="shared" si="10"/>
        <v>0</v>
      </c>
      <c r="N34" s="298">
        <f t="shared" si="10"/>
        <v>0</v>
      </c>
      <c r="O34" s="298">
        <f t="shared" si="10"/>
        <v>0</v>
      </c>
      <c r="P34" s="298">
        <f t="shared" si="10"/>
        <v>0</v>
      </c>
      <c r="Q34" s="298">
        <f t="shared" si="10"/>
        <v>0</v>
      </c>
      <c r="R34" s="298">
        <f t="shared" si="10"/>
        <v>0</v>
      </c>
      <c r="S34" s="298">
        <f t="shared" si="10"/>
        <v>0</v>
      </c>
      <c r="T34" s="298">
        <f t="shared" si="10"/>
        <v>0</v>
      </c>
      <c r="U34" s="265"/>
      <c r="V34" s="264"/>
      <c r="W34" s="264"/>
      <c r="X34" s="264"/>
      <c r="Y34" s="264"/>
      <c r="Z34" s="264"/>
      <c r="AA34" s="264"/>
      <c r="AB34" s="264"/>
      <c r="AC34" s="264"/>
      <c r="AD34" s="264"/>
      <c r="AE34" s="264"/>
      <c r="AF34" s="264"/>
      <c r="AG34" s="264"/>
      <c r="AH34" s="264"/>
      <c r="AI34" s="264"/>
    </row>
    <row r="35" spans="1:35" ht="19.5" customHeight="1" x14ac:dyDescent="0.25">
      <c r="A35" s="331" t="s">
        <v>5</v>
      </c>
      <c r="B35" s="500" t="s">
        <v>544</v>
      </c>
      <c r="C35" s="500"/>
      <c r="D35" s="500"/>
      <c r="E35" s="500"/>
      <c r="F35" s="500"/>
      <c r="G35" s="500"/>
      <c r="H35" s="500"/>
      <c r="I35" s="500"/>
      <c r="J35" s="299">
        <v>0</v>
      </c>
      <c r="K35" s="298">
        <f t="shared" si="10"/>
        <v>0</v>
      </c>
      <c r="L35" s="298">
        <f t="shared" si="10"/>
        <v>0</v>
      </c>
      <c r="M35" s="298">
        <f t="shared" si="10"/>
        <v>0</v>
      </c>
      <c r="N35" s="298">
        <f t="shared" si="10"/>
        <v>0</v>
      </c>
      <c r="O35" s="298">
        <f t="shared" si="10"/>
        <v>0</v>
      </c>
      <c r="P35" s="298">
        <f t="shared" si="10"/>
        <v>0</v>
      </c>
      <c r="Q35" s="298">
        <f t="shared" si="10"/>
        <v>0</v>
      </c>
      <c r="R35" s="298">
        <f t="shared" si="10"/>
        <v>0</v>
      </c>
      <c r="S35" s="298">
        <f t="shared" si="10"/>
        <v>0</v>
      </c>
      <c r="T35" s="298">
        <f t="shared" si="10"/>
        <v>0</v>
      </c>
      <c r="U35" s="265"/>
      <c r="V35" s="264"/>
      <c r="W35" s="264"/>
      <c r="X35" s="264"/>
      <c r="Y35" s="264"/>
      <c r="Z35" s="264"/>
      <c r="AA35" s="264"/>
      <c r="AB35" s="264"/>
      <c r="AC35" s="264"/>
      <c r="AD35" s="264"/>
      <c r="AE35" s="264"/>
      <c r="AF35" s="264"/>
      <c r="AG35" s="264"/>
      <c r="AH35" s="264"/>
      <c r="AI35" s="264"/>
    </row>
    <row r="36" spans="1:35" ht="19.5" customHeight="1" x14ac:dyDescent="0.25">
      <c r="A36" s="331" t="s">
        <v>6</v>
      </c>
      <c r="B36" s="500" t="s">
        <v>56</v>
      </c>
      <c r="C36" s="500"/>
      <c r="D36" s="500"/>
      <c r="E36" s="500"/>
      <c r="F36" s="500"/>
      <c r="G36" s="500"/>
      <c r="H36" s="500"/>
      <c r="I36" s="500"/>
      <c r="J36" s="299">
        <v>0</v>
      </c>
      <c r="K36" s="298">
        <f t="shared" si="10"/>
        <v>0</v>
      </c>
      <c r="L36" s="298">
        <f t="shared" si="10"/>
        <v>0</v>
      </c>
      <c r="M36" s="298">
        <f t="shared" si="10"/>
        <v>0</v>
      </c>
      <c r="N36" s="298">
        <f t="shared" si="10"/>
        <v>0</v>
      </c>
      <c r="O36" s="298">
        <f t="shared" si="10"/>
        <v>0</v>
      </c>
      <c r="P36" s="298">
        <f t="shared" si="10"/>
        <v>0</v>
      </c>
      <c r="Q36" s="298">
        <f t="shared" si="10"/>
        <v>0</v>
      </c>
      <c r="R36" s="298">
        <f t="shared" si="10"/>
        <v>0</v>
      </c>
      <c r="S36" s="298">
        <f t="shared" si="10"/>
        <v>0</v>
      </c>
      <c r="T36" s="298">
        <f t="shared" si="10"/>
        <v>0</v>
      </c>
      <c r="U36" s="265"/>
      <c r="V36" s="264"/>
      <c r="W36" s="264"/>
      <c r="X36" s="264"/>
      <c r="Y36" s="264"/>
      <c r="Z36" s="264"/>
      <c r="AA36" s="264"/>
      <c r="AB36" s="264"/>
      <c r="AC36" s="264"/>
      <c r="AD36" s="264"/>
      <c r="AE36" s="264"/>
      <c r="AF36" s="264"/>
      <c r="AG36" s="264"/>
      <c r="AH36" s="264"/>
      <c r="AI36" s="264"/>
    </row>
    <row r="37" spans="1:35" ht="19.5" customHeight="1" x14ac:dyDescent="0.25">
      <c r="A37" s="331" t="s">
        <v>8</v>
      </c>
      <c r="B37" s="500" t="s">
        <v>58</v>
      </c>
      <c r="C37" s="500"/>
      <c r="D37" s="500"/>
      <c r="E37" s="500"/>
      <c r="F37" s="500"/>
      <c r="G37" s="500"/>
      <c r="H37" s="500"/>
      <c r="I37" s="500"/>
      <c r="J37" s="299">
        <v>0</v>
      </c>
      <c r="K37" s="298">
        <f t="shared" si="10"/>
        <v>0</v>
      </c>
      <c r="L37" s="298">
        <f t="shared" si="10"/>
        <v>0</v>
      </c>
      <c r="M37" s="298">
        <f t="shared" si="10"/>
        <v>0</v>
      </c>
      <c r="N37" s="298">
        <f t="shared" si="10"/>
        <v>0</v>
      </c>
      <c r="O37" s="298">
        <f t="shared" si="10"/>
        <v>0</v>
      </c>
      <c r="P37" s="298">
        <f t="shared" si="10"/>
        <v>0</v>
      </c>
      <c r="Q37" s="298">
        <f t="shared" si="10"/>
        <v>0</v>
      </c>
      <c r="R37" s="298">
        <f t="shared" si="10"/>
        <v>0</v>
      </c>
      <c r="S37" s="298">
        <f t="shared" si="10"/>
        <v>0</v>
      </c>
      <c r="T37" s="298">
        <f t="shared" si="10"/>
        <v>0</v>
      </c>
      <c r="U37" s="265"/>
      <c r="V37" s="264"/>
      <c r="W37" s="264"/>
      <c r="X37" s="264"/>
      <c r="Y37" s="264"/>
      <c r="Z37" s="264"/>
      <c r="AA37" s="264"/>
      <c r="AB37" s="264"/>
      <c r="AC37" s="264"/>
      <c r="AD37" s="264"/>
      <c r="AE37" s="264"/>
      <c r="AF37" s="264"/>
      <c r="AG37" s="264"/>
      <c r="AH37" s="264"/>
      <c r="AI37" s="264"/>
    </row>
    <row r="38" spans="1:35" ht="19.5" customHeight="1" x14ac:dyDescent="0.25">
      <c r="A38" s="331" t="s">
        <v>10</v>
      </c>
      <c r="B38" s="500" t="s">
        <v>545</v>
      </c>
      <c r="C38" s="500"/>
      <c r="D38" s="500"/>
      <c r="E38" s="500"/>
      <c r="F38" s="500"/>
      <c r="G38" s="500"/>
      <c r="H38" s="500"/>
      <c r="I38" s="500"/>
      <c r="J38" s="299">
        <v>0</v>
      </c>
      <c r="K38" s="298">
        <f t="shared" si="10"/>
        <v>0</v>
      </c>
      <c r="L38" s="298">
        <f t="shared" si="10"/>
        <v>0</v>
      </c>
      <c r="M38" s="298">
        <f t="shared" si="10"/>
        <v>0</v>
      </c>
      <c r="N38" s="298">
        <f t="shared" si="10"/>
        <v>0</v>
      </c>
      <c r="O38" s="298">
        <f t="shared" si="10"/>
        <v>0</v>
      </c>
      <c r="P38" s="298">
        <f t="shared" si="10"/>
        <v>0</v>
      </c>
      <c r="Q38" s="298">
        <f t="shared" si="10"/>
        <v>0</v>
      </c>
      <c r="R38" s="298">
        <f t="shared" si="10"/>
        <v>0</v>
      </c>
      <c r="S38" s="298">
        <f t="shared" si="10"/>
        <v>0</v>
      </c>
      <c r="T38" s="298">
        <f t="shared" si="10"/>
        <v>0</v>
      </c>
      <c r="U38" s="265"/>
      <c r="V38" s="264"/>
      <c r="W38" s="264"/>
      <c r="X38" s="264"/>
      <c r="Y38" s="264"/>
      <c r="Z38" s="264"/>
      <c r="AA38" s="264"/>
      <c r="AB38" s="264"/>
      <c r="AC38" s="264"/>
      <c r="AD38" s="264"/>
      <c r="AE38" s="264"/>
      <c r="AF38" s="264"/>
      <c r="AG38" s="264"/>
      <c r="AH38" s="264"/>
      <c r="AI38" s="264"/>
    </row>
    <row r="39" spans="1:35" ht="19.5" customHeight="1" x14ac:dyDescent="0.25">
      <c r="A39" s="331" t="s">
        <v>12</v>
      </c>
      <c r="B39" s="500" t="s">
        <v>62</v>
      </c>
      <c r="C39" s="500"/>
      <c r="D39" s="500"/>
      <c r="E39" s="500"/>
      <c r="F39" s="500"/>
      <c r="G39" s="500"/>
      <c r="H39" s="500"/>
      <c r="I39" s="500"/>
      <c r="J39" s="299">
        <v>0.08</v>
      </c>
      <c r="K39" s="298">
        <f t="shared" si="10"/>
        <v>96.95</v>
      </c>
      <c r="L39" s="298">
        <f t="shared" si="10"/>
        <v>0</v>
      </c>
      <c r="M39" s="298">
        <f t="shared" si="10"/>
        <v>0</v>
      </c>
      <c r="N39" s="298">
        <f t="shared" si="10"/>
        <v>0</v>
      </c>
      <c r="O39" s="298">
        <f t="shared" si="10"/>
        <v>0</v>
      </c>
      <c r="P39" s="298">
        <f t="shared" si="10"/>
        <v>0</v>
      </c>
      <c r="Q39" s="298">
        <f t="shared" si="10"/>
        <v>0</v>
      </c>
      <c r="R39" s="298">
        <f t="shared" si="10"/>
        <v>0</v>
      </c>
      <c r="S39" s="298">
        <f t="shared" si="10"/>
        <v>0</v>
      </c>
      <c r="T39" s="298">
        <f t="shared" si="10"/>
        <v>0</v>
      </c>
      <c r="U39" s="265"/>
      <c r="V39" s="264"/>
      <c r="W39" s="264"/>
      <c r="X39" s="264"/>
      <c r="Y39" s="264"/>
      <c r="Z39" s="264"/>
      <c r="AA39" s="264"/>
      <c r="AB39" s="264"/>
      <c r="AC39" s="264"/>
      <c r="AD39" s="264"/>
      <c r="AE39" s="264"/>
      <c r="AF39" s="264"/>
      <c r="AG39" s="264"/>
      <c r="AH39" s="264"/>
      <c r="AI39" s="264"/>
    </row>
    <row r="40" spans="1:35" ht="19.5" customHeight="1" x14ac:dyDescent="0.25">
      <c r="A40" s="331" t="s">
        <v>26</v>
      </c>
      <c r="B40" s="500" t="s">
        <v>546</v>
      </c>
      <c r="C40" s="500"/>
      <c r="D40" s="500"/>
      <c r="E40" s="500"/>
      <c r="F40" s="300">
        <v>0.02</v>
      </c>
      <c r="G40" s="335" t="s">
        <v>547</v>
      </c>
      <c r="H40" s="527">
        <v>1.5</v>
      </c>
      <c r="I40" s="528"/>
      <c r="J40" s="299">
        <f>ROUND(F40*H40,2)</f>
        <v>0.03</v>
      </c>
      <c r="K40" s="298">
        <f t="shared" si="10"/>
        <v>36.36</v>
      </c>
      <c r="L40" s="298">
        <f t="shared" si="10"/>
        <v>0</v>
      </c>
      <c r="M40" s="298">
        <f t="shared" si="10"/>
        <v>0</v>
      </c>
      <c r="N40" s="298">
        <f t="shared" si="10"/>
        <v>0</v>
      </c>
      <c r="O40" s="298">
        <f t="shared" si="10"/>
        <v>0</v>
      </c>
      <c r="P40" s="298">
        <f t="shared" si="10"/>
        <v>0</v>
      </c>
      <c r="Q40" s="298">
        <f t="shared" si="10"/>
        <v>0</v>
      </c>
      <c r="R40" s="298">
        <f t="shared" si="10"/>
        <v>0</v>
      </c>
      <c r="S40" s="298">
        <f t="shared" si="10"/>
        <v>0</v>
      </c>
      <c r="T40" s="298">
        <f t="shared" si="10"/>
        <v>0</v>
      </c>
      <c r="U40" s="265"/>
      <c r="V40" s="264"/>
      <c r="W40" s="264"/>
      <c r="X40" s="264"/>
      <c r="Y40" s="264"/>
      <c r="Z40" s="264"/>
      <c r="AA40" s="264"/>
      <c r="AB40" s="264"/>
      <c r="AC40" s="264"/>
      <c r="AD40" s="264"/>
      <c r="AE40" s="264"/>
      <c r="AF40" s="264"/>
      <c r="AG40" s="264"/>
      <c r="AH40" s="264"/>
      <c r="AI40" s="264"/>
    </row>
    <row r="41" spans="1:35" ht="19.5" customHeight="1" x14ac:dyDescent="0.25">
      <c r="A41" s="331" t="s">
        <v>27</v>
      </c>
      <c r="B41" s="302" t="s">
        <v>70</v>
      </c>
      <c r="C41" s="504"/>
      <c r="D41" s="504"/>
      <c r="E41" s="504"/>
      <c r="F41" s="504"/>
      <c r="G41" s="504"/>
      <c r="H41" s="504"/>
      <c r="I41" s="504"/>
      <c r="J41" s="299">
        <f>IF('[2]Dados do Licitante'!A34="Simples Nacional",0,0.006)</f>
        <v>0</v>
      </c>
      <c r="K41" s="298">
        <f t="shared" si="10"/>
        <v>0</v>
      </c>
      <c r="L41" s="298">
        <f t="shared" si="10"/>
        <v>0</v>
      </c>
      <c r="M41" s="298">
        <f t="shared" si="10"/>
        <v>0</v>
      </c>
      <c r="N41" s="298">
        <f t="shared" si="10"/>
        <v>0</v>
      </c>
      <c r="O41" s="298">
        <f t="shared" si="10"/>
        <v>0</v>
      </c>
      <c r="P41" s="298">
        <f t="shared" si="10"/>
        <v>0</v>
      </c>
      <c r="Q41" s="298">
        <f t="shared" si="10"/>
        <v>0</v>
      </c>
      <c r="R41" s="298">
        <f t="shared" si="10"/>
        <v>0</v>
      </c>
      <c r="S41" s="298">
        <f t="shared" si="10"/>
        <v>0</v>
      </c>
      <c r="T41" s="298">
        <f t="shared" si="10"/>
        <v>0</v>
      </c>
      <c r="U41" s="265"/>
      <c r="V41" s="264"/>
      <c r="W41" s="264"/>
      <c r="X41" s="264"/>
      <c r="Y41" s="264"/>
      <c r="Z41" s="264"/>
      <c r="AA41" s="264"/>
      <c r="AB41" s="264"/>
      <c r="AC41" s="264"/>
      <c r="AD41" s="264"/>
      <c r="AE41" s="264"/>
      <c r="AF41" s="264"/>
      <c r="AG41" s="264"/>
      <c r="AH41" s="264"/>
      <c r="AI41" s="264"/>
    </row>
    <row r="42" spans="1:35" ht="19.5" customHeight="1" x14ac:dyDescent="0.25">
      <c r="A42" s="529"/>
      <c r="B42" s="529"/>
      <c r="C42" s="529"/>
      <c r="D42" s="529"/>
      <c r="E42" s="529"/>
      <c r="F42" s="529"/>
      <c r="G42" s="529"/>
      <c r="H42" s="529"/>
      <c r="I42" s="529"/>
      <c r="J42" s="529"/>
      <c r="K42" s="529"/>
      <c r="L42" s="529"/>
      <c r="M42" s="529"/>
      <c r="N42" s="529"/>
      <c r="O42" s="529"/>
      <c r="P42" s="529"/>
      <c r="Q42" s="529"/>
      <c r="R42" s="529"/>
      <c r="S42" s="529"/>
      <c r="T42" s="529"/>
      <c r="U42" s="265"/>
      <c r="V42" s="264"/>
      <c r="W42" s="264"/>
      <c r="X42" s="264"/>
      <c r="Y42" s="264"/>
      <c r="Z42" s="264"/>
      <c r="AA42" s="264"/>
      <c r="AB42" s="264"/>
      <c r="AC42" s="264"/>
      <c r="AD42" s="264"/>
      <c r="AE42" s="264"/>
      <c r="AF42" s="264"/>
      <c r="AG42" s="264"/>
      <c r="AH42" s="264"/>
      <c r="AI42" s="264"/>
    </row>
    <row r="43" spans="1:35" ht="25.5" customHeight="1" x14ac:dyDescent="0.25">
      <c r="A43" s="530" t="s">
        <v>548</v>
      </c>
      <c r="B43" s="530"/>
      <c r="C43" s="530"/>
      <c r="D43" s="530"/>
      <c r="E43" s="530"/>
      <c r="F43" s="530"/>
      <c r="G43" s="530"/>
      <c r="H43" s="530"/>
      <c r="I43" s="530"/>
      <c r="J43" s="530"/>
      <c r="K43" s="336">
        <f>K31</f>
        <v>0</v>
      </c>
      <c r="L43" s="336">
        <f t="shared" ref="L43:T43" si="11">L31</f>
        <v>0</v>
      </c>
      <c r="M43" s="336">
        <f t="shared" si="11"/>
        <v>0</v>
      </c>
      <c r="N43" s="336">
        <f t="shared" si="11"/>
        <v>0</v>
      </c>
      <c r="O43" s="336">
        <f t="shared" si="11"/>
        <v>0</v>
      </c>
      <c r="P43" s="336">
        <f t="shared" si="11"/>
        <v>0</v>
      </c>
      <c r="Q43" s="336">
        <f t="shared" si="11"/>
        <v>0</v>
      </c>
      <c r="R43" s="336">
        <f t="shared" si="11"/>
        <v>0</v>
      </c>
      <c r="S43" s="336">
        <f t="shared" si="11"/>
        <v>0</v>
      </c>
      <c r="T43" s="336">
        <f t="shared" si="11"/>
        <v>0</v>
      </c>
      <c r="U43" s="265"/>
      <c r="V43" s="264"/>
      <c r="W43" s="264"/>
      <c r="X43" s="264"/>
      <c r="Y43" s="264"/>
      <c r="Z43" s="264"/>
      <c r="AA43" s="264"/>
      <c r="AB43" s="264"/>
      <c r="AC43" s="264"/>
      <c r="AD43" s="264"/>
      <c r="AE43" s="264"/>
      <c r="AF43" s="264"/>
      <c r="AG43" s="264"/>
      <c r="AH43" s="264"/>
      <c r="AI43" s="264"/>
    </row>
    <row r="44" spans="1:35" ht="19.5" customHeight="1" x14ac:dyDescent="0.25">
      <c r="A44" s="331" t="s">
        <v>3</v>
      </c>
      <c r="B44" s="510" t="s">
        <v>607</v>
      </c>
      <c r="C44" s="510"/>
      <c r="D44" s="510"/>
      <c r="E44" s="510"/>
      <c r="F44" s="510"/>
      <c r="G44" s="510"/>
      <c r="H44" s="510"/>
      <c r="I44" s="510"/>
      <c r="J44" s="510"/>
      <c r="K44" s="288">
        <v>50</v>
      </c>
      <c r="L44" s="288" t="str">
        <f>IF(AND(L43&lt;&gt;0,'[2]Dados do Licitante'!I53&gt;0),'[2]Dados do Licitante'!I53,"")</f>
        <v/>
      </c>
      <c r="M44" s="303" t="str">
        <f>IF(AND(M43&lt;&gt;0,'[2]Dados do Licitante'!I54&gt;0),'[2]Dados do Licitante'!I54,"")</f>
        <v/>
      </c>
      <c r="N44" s="303" t="str">
        <f>IF(AND(N43&lt;&gt;0,'[2]Dados do Licitante'!I55&gt;0),'[2]Dados do Licitante'!I55,"")</f>
        <v/>
      </c>
      <c r="O44" s="303" t="str">
        <f>IF(AND(O43&lt;&gt;0,'[2]Dados do Licitante'!I56&gt;0),'[2]Dados do Licitante'!I56,"")</f>
        <v/>
      </c>
      <c r="P44" s="303" t="str">
        <f>IF(AND(P43&lt;&gt;0,'[2]Dados do Licitante'!I57&gt;0),'[2]Dados do Licitante'!I57,"")</f>
        <v/>
      </c>
      <c r="Q44" s="303" t="str">
        <f>IF(AND(Q43&lt;&gt;0,'[2]Dados do Licitante'!I58&gt;0),'[2]Dados do Licitante'!I58,"")</f>
        <v/>
      </c>
      <c r="R44" s="303" t="str">
        <f>IF(AND(R43&lt;&gt;0,'[2]Dados do Licitante'!I59&gt;0),'[2]Dados do Licitante'!I59,"")</f>
        <v/>
      </c>
      <c r="S44" s="303" t="str">
        <f>IF(AND(S43&lt;&gt;0,'[2]Dados do Licitante'!I60&gt;0),'[2]Dados do Licitante'!I60,"")</f>
        <v/>
      </c>
      <c r="T44" s="303" t="str">
        <f>IF(AND(T43&lt;&gt;0,'[2]Dados do Licitante'!I61&gt;0),'[2]Dados do Licitante'!I61,"")</f>
        <v/>
      </c>
      <c r="U44" s="265"/>
      <c r="V44" s="265"/>
      <c r="W44" s="264"/>
      <c r="X44" s="264"/>
      <c r="Y44" s="264"/>
      <c r="Z44" s="264"/>
      <c r="AA44" s="264"/>
      <c r="AB44" s="264"/>
      <c r="AC44" s="264"/>
      <c r="AD44" s="264"/>
      <c r="AE44" s="264"/>
      <c r="AF44" s="264"/>
      <c r="AG44" s="264"/>
      <c r="AH44" s="264"/>
      <c r="AI44" s="264"/>
    </row>
    <row r="45" spans="1:35" ht="19.5" customHeight="1" x14ac:dyDescent="0.25">
      <c r="A45" s="331" t="s">
        <v>5</v>
      </c>
      <c r="B45" s="510" t="s">
        <v>550</v>
      </c>
      <c r="C45" s="510"/>
      <c r="D45" s="510"/>
      <c r="E45" s="510"/>
      <c r="F45" s="510"/>
      <c r="G45" s="510"/>
      <c r="H45" s="510"/>
      <c r="I45" s="510"/>
      <c r="J45" s="510"/>
      <c r="K45" s="280">
        <v>292.60000000000002</v>
      </c>
      <c r="L45" s="288" t="str">
        <f>IF(L$43&lt;&gt;0,$K45,"")</f>
        <v/>
      </c>
      <c r="M45" s="288" t="str">
        <f t="shared" ref="M45:T51" si="12">IF(M$43&lt;&gt;0,$K45,"")</f>
        <v/>
      </c>
      <c r="N45" s="288" t="str">
        <f t="shared" si="12"/>
        <v/>
      </c>
      <c r="O45" s="288" t="str">
        <f t="shared" si="12"/>
        <v/>
      </c>
      <c r="P45" s="288" t="str">
        <f t="shared" si="12"/>
        <v/>
      </c>
      <c r="Q45" s="288" t="str">
        <f t="shared" si="12"/>
        <v/>
      </c>
      <c r="R45" s="288" t="str">
        <f t="shared" si="12"/>
        <v/>
      </c>
      <c r="S45" s="288" t="str">
        <f t="shared" si="12"/>
        <v/>
      </c>
      <c r="T45" s="288" t="str">
        <f t="shared" si="12"/>
        <v/>
      </c>
      <c r="U45" s="265"/>
      <c r="V45" s="265"/>
      <c r="W45" s="264"/>
      <c r="X45" s="264"/>
      <c r="Y45" s="264"/>
      <c r="Z45" s="264"/>
      <c r="AA45" s="264"/>
      <c r="AB45" s="264"/>
      <c r="AC45" s="264"/>
      <c r="AD45" s="264"/>
      <c r="AE45" s="264"/>
      <c r="AF45" s="264"/>
      <c r="AG45" s="264"/>
      <c r="AH45" s="264"/>
      <c r="AI45" s="264"/>
    </row>
    <row r="46" spans="1:35" ht="19.5" customHeight="1" x14ac:dyDescent="0.25">
      <c r="A46" s="331" t="s">
        <v>6</v>
      </c>
      <c r="B46" s="510" t="s">
        <v>551</v>
      </c>
      <c r="C46" s="510"/>
      <c r="D46" s="510"/>
      <c r="E46" s="510"/>
      <c r="F46" s="510"/>
      <c r="G46" s="510"/>
      <c r="H46" s="510"/>
      <c r="I46" s="510"/>
      <c r="J46" s="510"/>
      <c r="K46" s="280">
        <v>0</v>
      </c>
      <c r="L46" s="288" t="str">
        <f t="shared" ref="L46:L51" si="13">IF(L$43&lt;&gt;0,$K46,"")</f>
        <v/>
      </c>
      <c r="M46" s="288" t="str">
        <f t="shared" si="12"/>
        <v/>
      </c>
      <c r="N46" s="288" t="str">
        <f t="shared" si="12"/>
        <v/>
      </c>
      <c r="O46" s="288" t="str">
        <f t="shared" si="12"/>
        <v/>
      </c>
      <c r="P46" s="288" t="str">
        <f t="shared" si="12"/>
        <v/>
      </c>
      <c r="Q46" s="288" t="str">
        <f t="shared" si="12"/>
        <v/>
      </c>
      <c r="R46" s="288" t="str">
        <f t="shared" si="12"/>
        <v/>
      </c>
      <c r="S46" s="288" t="str">
        <f t="shared" si="12"/>
        <v/>
      </c>
      <c r="T46" s="288" t="str">
        <f t="shared" si="12"/>
        <v/>
      </c>
      <c r="U46" s="265"/>
      <c r="V46" s="265"/>
      <c r="W46" s="264"/>
      <c r="X46" s="264"/>
      <c r="Y46" s="264"/>
      <c r="Z46" s="264"/>
      <c r="AA46" s="264"/>
      <c r="AB46" s="264"/>
      <c r="AC46" s="264"/>
      <c r="AD46" s="264"/>
      <c r="AE46" s="264"/>
      <c r="AF46" s="264"/>
      <c r="AG46" s="264"/>
      <c r="AH46" s="264"/>
      <c r="AI46" s="264"/>
    </row>
    <row r="47" spans="1:35" ht="19.5" customHeight="1" x14ac:dyDescent="0.25">
      <c r="A47" s="331" t="s">
        <v>8</v>
      </c>
      <c r="B47" s="510" t="s">
        <v>604</v>
      </c>
      <c r="C47" s="510"/>
      <c r="D47" s="510"/>
      <c r="E47" s="510"/>
      <c r="F47" s="510"/>
      <c r="G47" s="510"/>
      <c r="H47" s="510"/>
      <c r="I47" s="510"/>
      <c r="J47" s="510"/>
      <c r="K47" s="280">
        <v>110</v>
      </c>
      <c r="L47" s="288" t="str">
        <f t="shared" si="13"/>
        <v/>
      </c>
      <c r="M47" s="288" t="str">
        <f t="shared" si="12"/>
        <v/>
      </c>
      <c r="N47" s="288" t="str">
        <f t="shared" si="12"/>
        <v/>
      </c>
      <c r="O47" s="288" t="str">
        <f t="shared" si="12"/>
        <v/>
      </c>
      <c r="P47" s="288" t="str">
        <f t="shared" si="12"/>
        <v/>
      </c>
      <c r="Q47" s="288" t="str">
        <f t="shared" si="12"/>
        <v/>
      </c>
      <c r="R47" s="288" t="str">
        <f t="shared" si="12"/>
        <v/>
      </c>
      <c r="S47" s="288" t="str">
        <f t="shared" si="12"/>
        <v/>
      </c>
      <c r="T47" s="288" t="str">
        <f t="shared" si="12"/>
        <v/>
      </c>
      <c r="U47" s="265"/>
      <c r="V47" s="265"/>
      <c r="W47" s="264"/>
      <c r="X47" s="264"/>
      <c r="Y47" s="264"/>
      <c r="Z47" s="264"/>
      <c r="AA47" s="264"/>
      <c r="AB47" s="264"/>
      <c r="AC47" s="264"/>
      <c r="AD47" s="264"/>
      <c r="AE47" s="264"/>
      <c r="AF47" s="264"/>
      <c r="AG47" s="264"/>
      <c r="AH47" s="264"/>
      <c r="AI47" s="264"/>
    </row>
    <row r="48" spans="1:35" ht="19.5" customHeight="1" x14ac:dyDescent="0.25">
      <c r="A48" s="331" t="s">
        <v>10</v>
      </c>
      <c r="B48" s="510" t="s">
        <v>552</v>
      </c>
      <c r="C48" s="510"/>
      <c r="D48" s="510"/>
      <c r="E48" s="510"/>
      <c r="F48" s="510"/>
      <c r="G48" s="510"/>
      <c r="H48" s="510"/>
      <c r="I48" s="510"/>
      <c r="J48" s="510"/>
      <c r="K48" s="280">
        <v>0</v>
      </c>
      <c r="L48" s="288" t="str">
        <f t="shared" si="13"/>
        <v/>
      </c>
      <c r="M48" s="288" t="str">
        <f t="shared" si="12"/>
        <v/>
      </c>
      <c r="N48" s="288" t="str">
        <f t="shared" si="12"/>
        <v/>
      </c>
      <c r="O48" s="288" t="str">
        <f t="shared" si="12"/>
        <v/>
      </c>
      <c r="P48" s="288" t="str">
        <f t="shared" si="12"/>
        <v/>
      </c>
      <c r="Q48" s="288" t="str">
        <f t="shared" si="12"/>
        <v/>
      </c>
      <c r="R48" s="288" t="str">
        <f t="shared" si="12"/>
        <v/>
      </c>
      <c r="S48" s="288" t="str">
        <f t="shared" si="12"/>
        <v/>
      </c>
      <c r="T48" s="288" t="str">
        <f t="shared" si="12"/>
        <v/>
      </c>
      <c r="U48" s="265"/>
      <c r="V48" s="265"/>
      <c r="W48" s="264"/>
      <c r="X48" s="264"/>
      <c r="Y48" s="264"/>
      <c r="Z48" s="264"/>
      <c r="AA48" s="264"/>
      <c r="AB48" s="264"/>
      <c r="AC48" s="264"/>
      <c r="AD48" s="264"/>
      <c r="AE48" s="264"/>
      <c r="AF48" s="264"/>
      <c r="AG48" s="264"/>
      <c r="AH48" s="264"/>
      <c r="AI48" s="264"/>
    </row>
    <row r="49" spans="1:35" ht="19.5" customHeight="1" x14ac:dyDescent="0.25">
      <c r="A49" s="331" t="s">
        <v>12</v>
      </c>
      <c r="B49" s="510" t="s">
        <v>553</v>
      </c>
      <c r="C49" s="510"/>
      <c r="D49" s="510"/>
      <c r="E49" s="510"/>
      <c r="F49" s="510"/>
      <c r="G49" s="510"/>
      <c r="H49" s="510"/>
      <c r="I49" s="510"/>
      <c r="J49" s="510"/>
      <c r="K49" s="280">
        <v>0</v>
      </c>
      <c r="L49" s="288" t="str">
        <f t="shared" si="13"/>
        <v/>
      </c>
      <c r="M49" s="288" t="str">
        <f t="shared" si="12"/>
        <v/>
      </c>
      <c r="N49" s="288" t="str">
        <f t="shared" si="12"/>
        <v/>
      </c>
      <c r="O49" s="288" t="str">
        <f t="shared" si="12"/>
        <v/>
      </c>
      <c r="P49" s="288" t="str">
        <f t="shared" si="12"/>
        <v/>
      </c>
      <c r="Q49" s="288" t="str">
        <f t="shared" si="12"/>
        <v/>
      </c>
      <c r="R49" s="288" t="str">
        <f t="shared" si="12"/>
        <v/>
      </c>
      <c r="S49" s="288" t="str">
        <f t="shared" si="12"/>
        <v/>
      </c>
      <c r="T49" s="288" t="str">
        <f t="shared" si="12"/>
        <v/>
      </c>
      <c r="U49" s="265"/>
      <c r="V49" s="265"/>
      <c r="W49" s="264"/>
      <c r="X49" s="264"/>
      <c r="Y49" s="264"/>
      <c r="Z49" s="264"/>
      <c r="AA49" s="264"/>
      <c r="AB49" s="264"/>
      <c r="AC49" s="264"/>
      <c r="AD49" s="264"/>
      <c r="AE49" s="264"/>
      <c r="AF49" s="264"/>
      <c r="AG49" s="264"/>
      <c r="AH49" s="264"/>
      <c r="AI49" s="264"/>
    </row>
    <row r="50" spans="1:35" ht="19.5" customHeight="1" x14ac:dyDescent="0.25">
      <c r="A50" s="331" t="s">
        <v>26</v>
      </c>
      <c r="B50" s="510" t="s">
        <v>447</v>
      </c>
      <c r="C50" s="510"/>
      <c r="D50" s="510"/>
      <c r="E50" s="510"/>
      <c r="F50" s="510"/>
      <c r="G50" s="510"/>
      <c r="H50" s="510"/>
      <c r="I50" s="510"/>
      <c r="J50" s="510"/>
      <c r="K50" s="280">
        <v>22.7</v>
      </c>
      <c r="L50" s="288" t="str">
        <f t="shared" si="13"/>
        <v/>
      </c>
      <c r="M50" s="288" t="str">
        <f t="shared" si="12"/>
        <v/>
      </c>
      <c r="N50" s="288" t="str">
        <f t="shared" si="12"/>
        <v/>
      </c>
      <c r="O50" s="288" t="str">
        <f t="shared" si="12"/>
        <v/>
      </c>
      <c r="P50" s="288" t="str">
        <f t="shared" si="12"/>
        <v/>
      </c>
      <c r="Q50" s="288" t="str">
        <f t="shared" si="12"/>
        <v/>
      </c>
      <c r="R50" s="288" t="str">
        <f t="shared" si="12"/>
        <v/>
      </c>
      <c r="S50" s="288" t="str">
        <f t="shared" si="12"/>
        <v/>
      </c>
      <c r="T50" s="288" t="str">
        <f t="shared" si="12"/>
        <v/>
      </c>
      <c r="U50" s="265"/>
      <c r="V50" s="265"/>
      <c r="W50" s="264"/>
      <c r="X50" s="264"/>
      <c r="Y50" s="264"/>
      <c r="Z50" s="264"/>
      <c r="AA50" s="264"/>
      <c r="AB50" s="264"/>
      <c r="AC50" s="264"/>
      <c r="AD50" s="264"/>
      <c r="AE50" s="264"/>
      <c r="AF50" s="264"/>
      <c r="AG50" s="264"/>
      <c r="AH50" s="264"/>
      <c r="AI50" s="264"/>
    </row>
    <row r="51" spans="1:35" ht="19.5" customHeight="1" x14ac:dyDescent="0.25">
      <c r="A51" s="331" t="s">
        <v>27</v>
      </c>
      <c r="B51" s="510" t="s">
        <v>554</v>
      </c>
      <c r="C51" s="510"/>
      <c r="D51" s="510"/>
      <c r="E51" s="510"/>
      <c r="F51" s="510"/>
      <c r="G51" s="510"/>
      <c r="H51" s="510"/>
      <c r="I51" s="510"/>
      <c r="J51" s="510"/>
      <c r="K51" s="280">
        <v>0</v>
      </c>
      <c r="L51" s="288" t="str">
        <f t="shared" si="13"/>
        <v/>
      </c>
      <c r="M51" s="288" t="str">
        <f t="shared" si="12"/>
        <v/>
      </c>
      <c r="N51" s="288" t="str">
        <f t="shared" si="12"/>
        <v/>
      </c>
      <c r="O51" s="288" t="str">
        <f t="shared" si="12"/>
        <v/>
      </c>
      <c r="P51" s="288" t="str">
        <f t="shared" si="12"/>
        <v/>
      </c>
      <c r="Q51" s="288" t="str">
        <f t="shared" si="12"/>
        <v/>
      </c>
      <c r="R51" s="288" t="str">
        <f t="shared" si="12"/>
        <v/>
      </c>
      <c r="S51" s="288" t="str">
        <f t="shared" si="12"/>
        <v/>
      </c>
      <c r="T51" s="288" t="str">
        <f t="shared" si="12"/>
        <v/>
      </c>
      <c r="U51" s="265"/>
      <c r="V51" s="265"/>
      <c r="W51" s="264"/>
      <c r="X51" s="264"/>
      <c r="Y51" s="264"/>
      <c r="Z51" s="264"/>
      <c r="AA51" s="264"/>
      <c r="AB51" s="264"/>
      <c r="AC51" s="264"/>
      <c r="AD51" s="264"/>
      <c r="AE51" s="264"/>
      <c r="AF51" s="264"/>
      <c r="AG51" s="264"/>
      <c r="AH51" s="264"/>
      <c r="AI51" s="264"/>
    </row>
    <row r="52" spans="1:35" ht="19.5" customHeight="1" x14ac:dyDescent="0.25">
      <c r="A52" s="331" t="s">
        <v>72</v>
      </c>
      <c r="B52" s="510" t="s">
        <v>28</v>
      </c>
      <c r="C52" s="510"/>
      <c r="D52" s="510"/>
      <c r="E52" s="510"/>
      <c r="F52" s="510"/>
      <c r="G52" s="510"/>
      <c r="H52" s="510"/>
      <c r="I52" s="510"/>
      <c r="J52" s="510"/>
      <c r="K52" s="288"/>
      <c r="L52" s="288"/>
      <c r="M52" s="304"/>
      <c r="N52" s="304"/>
      <c r="O52" s="304"/>
      <c r="P52" s="304"/>
      <c r="Q52" s="304"/>
      <c r="R52" s="304"/>
      <c r="S52" s="304"/>
      <c r="T52" s="304"/>
      <c r="U52" s="265"/>
      <c r="V52" s="265"/>
      <c r="W52" s="264"/>
      <c r="X52" s="264"/>
      <c r="Y52" s="264"/>
      <c r="Z52" s="264"/>
      <c r="AA52" s="264"/>
      <c r="AB52" s="264"/>
      <c r="AC52" s="264"/>
      <c r="AD52" s="264"/>
      <c r="AE52" s="264"/>
      <c r="AF52" s="264"/>
      <c r="AG52" s="264"/>
      <c r="AH52" s="264"/>
      <c r="AI52" s="264"/>
    </row>
    <row r="53" spans="1:35" ht="19.5" customHeight="1" x14ac:dyDescent="0.25">
      <c r="A53" s="331"/>
      <c r="B53" s="498" t="s">
        <v>75</v>
      </c>
      <c r="C53" s="498"/>
      <c r="D53" s="498"/>
      <c r="E53" s="498"/>
      <c r="F53" s="498"/>
      <c r="G53" s="498"/>
      <c r="H53" s="498"/>
      <c r="I53" s="498"/>
      <c r="J53" s="498"/>
      <c r="K53" s="294">
        <f>SUM(K44:K52)</f>
        <v>475.3</v>
      </c>
      <c r="L53" s="294">
        <f>IF(L43=0,0,SUM(L44:L52))</f>
        <v>0</v>
      </c>
      <c r="M53" s="294">
        <f t="shared" ref="M53:T53" si="14">IF(M43=0,0,SUM(M44:M52))</f>
        <v>0</v>
      </c>
      <c r="N53" s="294">
        <f t="shared" si="14"/>
        <v>0</v>
      </c>
      <c r="O53" s="294">
        <f t="shared" si="14"/>
        <v>0</v>
      </c>
      <c r="P53" s="294">
        <f t="shared" si="14"/>
        <v>0</v>
      </c>
      <c r="Q53" s="294">
        <f t="shared" si="14"/>
        <v>0</v>
      </c>
      <c r="R53" s="294">
        <f t="shared" si="14"/>
        <v>0</v>
      </c>
      <c r="S53" s="294">
        <f t="shared" si="14"/>
        <v>0</v>
      </c>
      <c r="T53" s="294">
        <f t="shared" si="14"/>
        <v>0</v>
      </c>
      <c r="U53" s="265"/>
      <c r="V53" s="264"/>
      <c r="W53" s="264"/>
      <c r="X53" s="264"/>
      <c r="Y53" s="264"/>
      <c r="Z53" s="264"/>
      <c r="AA53" s="264"/>
      <c r="AB53" s="264"/>
      <c r="AC53" s="264"/>
      <c r="AD53" s="264"/>
      <c r="AE53" s="264"/>
      <c r="AF53" s="264"/>
      <c r="AG53" s="264"/>
      <c r="AH53" s="264"/>
      <c r="AI53" s="264"/>
    </row>
    <row r="54" spans="1:35" ht="19.5" customHeight="1" x14ac:dyDescent="0.25">
      <c r="A54" s="512"/>
      <c r="B54" s="512"/>
      <c r="C54" s="512"/>
      <c r="D54" s="512"/>
      <c r="E54" s="512"/>
      <c r="F54" s="512"/>
      <c r="G54" s="512"/>
      <c r="H54" s="512"/>
      <c r="I54" s="512"/>
      <c r="J54" s="512"/>
      <c r="K54" s="512"/>
      <c r="L54" s="265"/>
      <c r="M54" s="264"/>
      <c r="N54" s="264"/>
      <c r="O54" s="264"/>
      <c r="P54" s="264"/>
      <c r="Q54" s="264"/>
      <c r="R54" s="264"/>
      <c r="S54" s="264"/>
      <c r="T54" s="264"/>
      <c r="U54" s="265"/>
      <c r="V54" s="264"/>
      <c r="W54" s="264"/>
      <c r="X54" s="264"/>
      <c r="Y54" s="264"/>
      <c r="Z54" s="264"/>
      <c r="AA54" s="264"/>
      <c r="AB54" s="264"/>
      <c r="AC54" s="264"/>
      <c r="AD54" s="264"/>
      <c r="AE54" s="264"/>
      <c r="AF54" s="264"/>
      <c r="AG54" s="264"/>
      <c r="AH54" s="264"/>
      <c r="AI54" s="264"/>
    </row>
    <row r="55" spans="1:35" ht="25.5" customHeight="1" x14ac:dyDescent="0.25">
      <c r="A55" s="513" t="s">
        <v>555</v>
      </c>
      <c r="B55" s="513"/>
      <c r="C55" s="513"/>
      <c r="D55" s="513"/>
      <c r="E55" s="513"/>
      <c r="F55" s="513"/>
      <c r="G55" s="513"/>
      <c r="H55" s="513"/>
      <c r="I55" s="513"/>
      <c r="J55" s="513"/>
      <c r="K55" s="336"/>
      <c r="L55" s="336">
        <f t="shared" ref="L55:T55" si="15">L43</f>
        <v>0</v>
      </c>
      <c r="M55" s="336">
        <f t="shared" si="15"/>
        <v>0</v>
      </c>
      <c r="N55" s="336">
        <f t="shared" si="15"/>
        <v>0</v>
      </c>
      <c r="O55" s="336">
        <f t="shared" si="15"/>
        <v>0</v>
      </c>
      <c r="P55" s="336">
        <f t="shared" si="15"/>
        <v>0</v>
      </c>
      <c r="Q55" s="336">
        <f t="shared" si="15"/>
        <v>0</v>
      </c>
      <c r="R55" s="336">
        <f t="shared" si="15"/>
        <v>0</v>
      </c>
      <c r="S55" s="336">
        <f t="shared" si="15"/>
        <v>0</v>
      </c>
      <c r="T55" s="336">
        <f t="shared" si="15"/>
        <v>0</v>
      </c>
      <c r="U55" s="265"/>
      <c r="V55" s="264"/>
      <c r="W55" s="264"/>
      <c r="X55" s="264"/>
      <c r="Y55" s="264"/>
      <c r="Z55" s="264"/>
      <c r="AA55" s="264"/>
      <c r="AB55" s="264"/>
      <c r="AC55" s="264"/>
      <c r="AD55" s="264"/>
      <c r="AE55" s="264"/>
      <c r="AF55" s="264"/>
      <c r="AG55" s="264"/>
      <c r="AH55" s="264"/>
      <c r="AI55" s="264"/>
    </row>
    <row r="56" spans="1:35" ht="19.5" customHeight="1" x14ac:dyDescent="0.25">
      <c r="A56" s="331" t="s">
        <v>556</v>
      </c>
      <c r="B56" s="501" t="s">
        <v>557</v>
      </c>
      <c r="C56" s="501"/>
      <c r="D56" s="501"/>
      <c r="E56" s="501"/>
      <c r="F56" s="501"/>
      <c r="G56" s="501"/>
      <c r="H56" s="501"/>
      <c r="I56" s="501"/>
      <c r="J56" s="291">
        <f>J29</f>
        <v>0.11360000000000001</v>
      </c>
      <c r="K56" s="288">
        <f>K29</f>
        <v>123.63</v>
      </c>
      <c r="L56" s="288">
        <f t="shared" ref="L56:T56" si="16">L29</f>
        <v>0</v>
      </c>
      <c r="M56" s="288">
        <f t="shared" si="16"/>
        <v>0</v>
      </c>
      <c r="N56" s="288">
        <f t="shared" si="16"/>
        <v>0</v>
      </c>
      <c r="O56" s="288">
        <f t="shared" si="16"/>
        <v>0</v>
      </c>
      <c r="P56" s="288">
        <f t="shared" si="16"/>
        <v>0</v>
      </c>
      <c r="Q56" s="288">
        <f t="shared" si="16"/>
        <v>0</v>
      </c>
      <c r="R56" s="288">
        <f t="shared" si="16"/>
        <v>0</v>
      </c>
      <c r="S56" s="288">
        <f t="shared" si="16"/>
        <v>0</v>
      </c>
      <c r="T56" s="288">
        <f t="shared" si="16"/>
        <v>0</v>
      </c>
      <c r="U56" s="265"/>
      <c r="V56" s="264"/>
      <c r="W56" s="264"/>
      <c r="X56" s="264"/>
      <c r="Y56" s="264"/>
      <c r="Z56" s="264"/>
      <c r="AA56" s="264"/>
      <c r="AB56" s="264"/>
      <c r="AC56" s="264"/>
      <c r="AD56" s="264"/>
      <c r="AE56" s="264"/>
      <c r="AF56" s="264"/>
      <c r="AG56" s="264"/>
      <c r="AH56" s="264"/>
      <c r="AI56" s="264"/>
    </row>
    <row r="57" spans="1:35" ht="19.5" customHeight="1" x14ac:dyDescent="0.25">
      <c r="A57" s="331" t="s">
        <v>558</v>
      </c>
      <c r="B57" s="501" t="s">
        <v>559</v>
      </c>
      <c r="C57" s="501"/>
      <c r="D57" s="501"/>
      <c r="E57" s="501"/>
      <c r="F57" s="501"/>
      <c r="G57" s="501"/>
      <c r="H57" s="501"/>
      <c r="I57" s="501"/>
      <c r="J57" s="291">
        <f>J33</f>
        <v>0.31</v>
      </c>
      <c r="K57" s="288">
        <f>$J57*K23</f>
        <v>337.37</v>
      </c>
      <c r="L57" s="288">
        <f t="shared" ref="L57:T57" si="17">$J57*L23</f>
        <v>0</v>
      </c>
      <c r="M57" s="288">
        <f t="shared" si="17"/>
        <v>0</v>
      </c>
      <c r="N57" s="288">
        <f t="shared" si="17"/>
        <v>0</v>
      </c>
      <c r="O57" s="288">
        <f t="shared" si="17"/>
        <v>0</v>
      </c>
      <c r="P57" s="288">
        <f t="shared" si="17"/>
        <v>0</v>
      </c>
      <c r="Q57" s="288">
        <f t="shared" si="17"/>
        <v>0</v>
      </c>
      <c r="R57" s="288">
        <f t="shared" si="17"/>
        <v>0</v>
      </c>
      <c r="S57" s="288">
        <f t="shared" si="17"/>
        <v>0</v>
      </c>
      <c r="T57" s="288">
        <f t="shared" si="17"/>
        <v>0</v>
      </c>
      <c r="U57" s="265"/>
      <c r="V57" s="264"/>
      <c r="W57" s="264"/>
      <c r="X57" s="264"/>
      <c r="Y57" s="264"/>
      <c r="Z57" s="264"/>
      <c r="AA57" s="264"/>
      <c r="AB57" s="264"/>
      <c r="AC57" s="264"/>
      <c r="AD57" s="264"/>
      <c r="AE57" s="264"/>
      <c r="AF57" s="264"/>
      <c r="AG57" s="264"/>
      <c r="AH57" s="264"/>
      <c r="AI57" s="264"/>
    </row>
    <row r="58" spans="1:35" ht="19.5" customHeight="1" x14ac:dyDescent="0.25">
      <c r="A58" s="331" t="s">
        <v>560</v>
      </c>
      <c r="B58" s="510" t="s">
        <v>561</v>
      </c>
      <c r="C58" s="510"/>
      <c r="D58" s="510"/>
      <c r="E58" s="510"/>
      <c r="F58" s="510"/>
      <c r="G58" s="510"/>
      <c r="H58" s="510"/>
      <c r="I58" s="510"/>
      <c r="J58" s="510"/>
      <c r="K58" s="288">
        <f>K53</f>
        <v>475.3</v>
      </c>
      <c r="L58" s="288">
        <f t="shared" ref="L58:T58" si="18">L53</f>
        <v>0</v>
      </c>
      <c r="M58" s="288">
        <f t="shared" si="18"/>
        <v>0</v>
      </c>
      <c r="N58" s="288">
        <f t="shared" si="18"/>
        <v>0</v>
      </c>
      <c r="O58" s="288">
        <f t="shared" si="18"/>
        <v>0</v>
      </c>
      <c r="P58" s="288">
        <f t="shared" si="18"/>
        <v>0</v>
      </c>
      <c r="Q58" s="288">
        <f t="shared" si="18"/>
        <v>0</v>
      </c>
      <c r="R58" s="288">
        <f t="shared" si="18"/>
        <v>0</v>
      </c>
      <c r="S58" s="288">
        <f t="shared" si="18"/>
        <v>0</v>
      </c>
      <c r="T58" s="288">
        <f t="shared" si="18"/>
        <v>0</v>
      </c>
      <c r="U58" s="265"/>
      <c r="V58" s="264"/>
      <c r="W58" s="264"/>
      <c r="X58" s="264"/>
      <c r="Y58" s="264"/>
      <c r="Z58" s="264"/>
      <c r="AA58" s="264"/>
      <c r="AB58" s="264"/>
      <c r="AC58" s="264"/>
      <c r="AD58" s="264"/>
      <c r="AE58" s="264"/>
      <c r="AF58" s="264"/>
      <c r="AG58" s="264"/>
      <c r="AH58" s="264"/>
      <c r="AI58" s="264"/>
    </row>
    <row r="59" spans="1:35" ht="19.5" customHeight="1" x14ac:dyDescent="0.25">
      <c r="A59" s="333"/>
      <c r="B59" s="511" t="s">
        <v>75</v>
      </c>
      <c r="C59" s="511"/>
      <c r="D59" s="511"/>
      <c r="E59" s="511"/>
      <c r="F59" s="511"/>
      <c r="G59" s="511"/>
      <c r="H59" s="511"/>
      <c r="I59" s="511"/>
      <c r="J59" s="511"/>
      <c r="K59" s="290">
        <f>K56+K57+K58</f>
        <v>936.3</v>
      </c>
      <c r="L59" s="290">
        <f t="shared" ref="L59:T59" si="19">L56+L57+L58</f>
        <v>0</v>
      </c>
      <c r="M59" s="290">
        <f t="shared" si="19"/>
        <v>0</v>
      </c>
      <c r="N59" s="290">
        <f t="shared" si="19"/>
        <v>0</v>
      </c>
      <c r="O59" s="290">
        <f t="shared" si="19"/>
        <v>0</v>
      </c>
      <c r="P59" s="290">
        <f t="shared" si="19"/>
        <v>0</v>
      </c>
      <c r="Q59" s="290">
        <f t="shared" si="19"/>
        <v>0</v>
      </c>
      <c r="R59" s="290">
        <f t="shared" si="19"/>
        <v>0</v>
      </c>
      <c r="S59" s="290">
        <f t="shared" si="19"/>
        <v>0</v>
      </c>
      <c r="T59" s="290">
        <f t="shared" si="19"/>
        <v>0</v>
      </c>
      <c r="U59" s="265"/>
      <c r="V59" s="264"/>
      <c r="W59" s="264"/>
      <c r="X59" s="264"/>
      <c r="Y59" s="264"/>
      <c r="Z59" s="264"/>
      <c r="AA59" s="264"/>
      <c r="AB59" s="264"/>
      <c r="AC59" s="264"/>
      <c r="AD59" s="264"/>
      <c r="AE59" s="264"/>
      <c r="AF59" s="264"/>
      <c r="AG59" s="264"/>
      <c r="AH59" s="264"/>
      <c r="AI59" s="264"/>
    </row>
    <row r="60" spans="1:35" ht="19.5" customHeight="1" x14ac:dyDescent="0.25">
      <c r="A60" s="512"/>
      <c r="B60" s="512"/>
      <c r="C60" s="512"/>
      <c r="D60" s="512"/>
      <c r="E60" s="512"/>
      <c r="F60" s="512"/>
      <c r="G60" s="512"/>
      <c r="H60" s="512"/>
      <c r="I60" s="512"/>
      <c r="J60" s="512"/>
      <c r="K60" s="512"/>
      <c r="L60" s="265"/>
      <c r="M60" s="306"/>
      <c r="N60" s="306"/>
      <c r="O60" s="306"/>
      <c r="P60" s="306"/>
      <c r="Q60" s="306"/>
      <c r="R60" s="306"/>
      <c r="S60" s="306"/>
      <c r="T60" s="306"/>
      <c r="U60" s="265"/>
      <c r="V60" s="306"/>
      <c r="W60" s="306"/>
      <c r="X60" s="306"/>
      <c r="Y60" s="306"/>
      <c r="Z60" s="306"/>
      <c r="AA60" s="306"/>
      <c r="AB60" s="306"/>
      <c r="AC60" s="306"/>
      <c r="AD60" s="306"/>
      <c r="AE60" s="306"/>
      <c r="AF60" s="306"/>
      <c r="AG60" s="306"/>
      <c r="AH60" s="306"/>
      <c r="AI60" s="306"/>
    </row>
    <row r="61" spans="1:35" ht="25.5" customHeight="1" x14ac:dyDescent="0.25">
      <c r="A61" s="525" t="s">
        <v>562</v>
      </c>
      <c r="B61" s="525"/>
      <c r="C61" s="525"/>
      <c r="D61" s="525"/>
      <c r="E61" s="525"/>
      <c r="F61" s="525"/>
      <c r="G61" s="525"/>
      <c r="H61" s="525"/>
      <c r="I61" s="525"/>
      <c r="J61" s="525"/>
      <c r="K61" s="336"/>
      <c r="L61" s="336">
        <f t="shared" ref="L61:T61" si="20">L55</f>
        <v>0</v>
      </c>
      <c r="M61" s="336">
        <f t="shared" si="20"/>
        <v>0</v>
      </c>
      <c r="N61" s="336">
        <f t="shared" si="20"/>
        <v>0</v>
      </c>
      <c r="O61" s="336">
        <f t="shared" si="20"/>
        <v>0</v>
      </c>
      <c r="P61" s="336">
        <f t="shared" si="20"/>
        <v>0</v>
      </c>
      <c r="Q61" s="336">
        <f t="shared" si="20"/>
        <v>0</v>
      </c>
      <c r="R61" s="336">
        <f t="shared" si="20"/>
        <v>0</v>
      </c>
      <c r="S61" s="336">
        <f t="shared" si="20"/>
        <v>0</v>
      </c>
      <c r="T61" s="336">
        <f t="shared" si="20"/>
        <v>0</v>
      </c>
      <c r="U61" s="307"/>
      <c r="V61" s="308"/>
      <c r="W61" s="308"/>
      <c r="X61" s="308"/>
      <c r="Y61" s="308"/>
      <c r="Z61" s="308"/>
      <c r="AA61" s="308"/>
      <c r="AB61" s="308"/>
      <c r="AC61" s="308"/>
      <c r="AD61" s="308"/>
      <c r="AE61" s="308"/>
      <c r="AF61" s="308"/>
      <c r="AG61" s="308"/>
      <c r="AH61" s="308"/>
      <c r="AI61" s="308"/>
    </row>
    <row r="62" spans="1:35" ht="19.5" customHeight="1" x14ac:dyDescent="0.25">
      <c r="A62" s="531" t="s">
        <v>563</v>
      </c>
      <c r="B62" s="531"/>
      <c r="C62" s="531"/>
      <c r="D62" s="531"/>
      <c r="E62" s="531"/>
      <c r="F62" s="531"/>
      <c r="G62" s="531"/>
      <c r="H62" s="531"/>
      <c r="I62" s="531"/>
      <c r="J62" s="531"/>
      <c r="K62" s="309">
        <f>K32</f>
        <v>1211.92</v>
      </c>
      <c r="L62" s="309">
        <f t="shared" ref="L62:T62" si="21">L32</f>
        <v>0</v>
      </c>
      <c r="M62" s="309">
        <f t="shared" si="21"/>
        <v>0</v>
      </c>
      <c r="N62" s="309">
        <f t="shared" si="21"/>
        <v>0</v>
      </c>
      <c r="O62" s="309">
        <f t="shared" si="21"/>
        <v>0</v>
      </c>
      <c r="P62" s="309">
        <f t="shared" si="21"/>
        <v>0</v>
      </c>
      <c r="Q62" s="309">
        <f t="shared" si="21"/>
        <v>0</v>
      </c>
      <c r="R62" s="309">
        <f t="shared" si="21"/>
        <v>0</v>
      </c>
      <c r="S62" s="309">
        <f t="shared" si="21"/>
        <v>0</v>
      </c>
      <c r="T62" s="309">
        <f t="shared" si="21"/>
        <v>0</v>
      </c>
      <c r="U62" s="265"/>
      <c r="V62" s="264"/>
      <c r="W62" s="264"/>
      <c r="X62" s="264"/>
      <c r="Y62" s="264"/>
      <c r="Z62" s="264"/>
      <c r="AA62" s="264"/>
      <c r="AB62" s="264"/>
      <c r="AC62" s="264"/>
      <c r="AD62" s="264"/>
      <c r="AE62" s="264"/>
      <c r="AF62" s="264"/>
      <c r="AG62" s="264"/>
      <c r="AH62" s="264"/>
      <c r="AI62" s="264"/>
    </row>
    <row r="63" spans="1:35" ht="36.75" customHeight="1" x14ac:dyDescent="0.25">
      <c r="A63" s="331" t="s">
        <v>3</v>
      </c>
      <c r="B63" s="536" t="s">
        <v>94</v>
      </c>
      <c r="C63" s="536"/>
      <c r="D63" s="310">
        <v>30</v>
      </c>
      <c r="E63" s="311" t="s">
        <v>564</v>
      </c>
      <c r="F63" s="537" t="s">
        <v>565</v>
      </c>
      <c r="G63" s="538"/>
      <c r="H63" s="539">
        <f>'[2]Dados do Licitante'!G79</f>
        <v>0.05</v>
      </c>
      <c r="I63" s="540"/>
      <c r="J63" s="312">
        <f>D63/360*H63</f>
        <v>4.1999999999999997E-3</v>
      </c>
      <c r="K63" s="288">
        <f>K$62*$J63</f>
        <v>5.09</v>
      </c>
      <c r="L63" s="288">
        <f t="shared" ref="L63:T66" si="22">L$62*$J63</f>
        <v>0</v>
      </c>
      <c r="M63" s="288">
        <f t="shared" si="22"/>
        <v>0</v>
      </c>
      <c r="N63" s="288">
        <f t="shared" si="22"/>
        <v>0</v>
      </c>
      <c r="O63" s="288">
        <f t="shared" si="22"/>
        <v>0</v>
      </c>
      <c r="P63" s="288">
        <f t="shared" si="22"/>
        <v>0</v>
      </c>
      <c r="Q63" s="288">
        <f t="shared" si="22"/>
        <v>0</v>
      </c>
      <c r="R63" s="288">
        <f t="shared" si="22"/>
        <v>0</v>
      </c>
      <c r="S63" s="288">
        <f t="shared" si="22"/>
        <v>0</v>
      </c>
      <c r="T63" s="288">
        <f t="shared" si="22"/>
        <v>0</v>
      </c>
      <c r="U63" s="265"/>
      <c r="V63" s="264"/>
      <c r="W63" s="264"/>
      <c r="X63" s="264"/>
      <c r="Y63" s="264"/>
      <c r="Z63" s="264"/>
      <c r="AA63" s="264"/>
      <c r="AB63" s="264"/>
      <c r="AC63" s="264"/>
      <c r="AD63" s="264"/>
      <c r="AE63" s="264"/>
      <c r="AF63" s="264"/>
      <c r="AG63" s="264"/>
      <c r="AH63" s="264"/>
      <c r="AI63" s="264"/>
    </row>
    <row r="64" spans="1:35" ht="19.5" customHeight="1" x14ac:dyDescent="0.25">
      <c r="A64" s="331" t="s">
        <v>5</v>
      </c>
      <c r="B64" s="501" t="s">
        <v>566</v>
      </c>
      <c r="C64" s="501"/>
      <c r="D64" s="501"/>
      <c r="E64" s="501"/>
      <c r="F64" s="501"/>
      <c r="G64" s="501"/>
      <c r="H64" s="501"/>
      <c r="I64" s="501"/>
      <c r="J64" s="312">
        <f>J39*J63</f>
        <v>2.9999999999999997E-4</v>
      </c>
      <c r="K64" s="288">
        <f>K$62*$J64</f>
        <v>0.36</v>
      </c>
      <c r="L64" s="288">
        <f t="shared" si="22"/>
        <v>0</v>
      </c>
      <c r="M64" s="288">
        <f t="shared" si="22"/>
        <v>0</v>
      </c>
      <c r="N64" s="288">
        <f t="shared" si="22"/>
        <v>0</v>
      </c>
      <c r="O64" s="288">
        <f t="shared" si="22"/>
        <v>0</v>
      </c>
      <c r="P64" s="288">
        <f t="shared" si="22"/>
        <v>0</v>
      </c>
      <c r="Q64" s="288">
        <f t="shared" si="22"/>
        <v>0</v>
      </c>
      <c r="R64" s="288">
        <f t="shared" si="22"/>
        <v>0</v>
      </c>
      <c r="S64" s="288">
        <f t="shared" si="22"/>
        <v>0</v>
      </c>
      <c r="T64" s="288">
        <f t="shared" si="22"/>
        <v>0</v>
      </c>
      <c r="U64" s="265"/>
      <c r="V64" s="264"/>
      <c r="W64" s="264"/>
      <c r="X64" s="264"/>
      <c r="Y64" s="264"/>
      <c r="Z64" s="264"/>
      <c r="AA64" s="264"/>
      <c r="AB64" s="264"/>
      <c r="AC64" s="264"/>
      <c r="AD64" s="264"/>
      <c r="AE64" s="264"/>
      <c r="AF64" s="264"/>
      <c r="AG64" s="264"/>
      <c r="AH64" s="264"/>
      <c r="AI64" s="264"/>
    </row>
    <row r="65" spans="1:35" ht="19.5" customHeight="1" x14ac:dyDescent="0.25">
      <c r="A65" s="331" t="s">
        <v>6</v>
      </c>
      <c r="B65" s="501" t="s">
        <v>98</v>
      </c>
      <c r="C65" s="501"/>
      <c r="D65" s="501"/>
      <c r="E65" s="501"/>
      <c r="F65" s="501"/>
      <c r="G65" s="501"/>
      <c r="H65" s="501"/>
      <c r="I65" s="501"/>
      <c r="J65" s="312">
        <f>7/30/K8</f>
        <v>1.9400000000000001E-2</v>
      </c>
      <c r="K65" s="288">
        <f>K$62*$J65</f>
        <v>23.51</v>
      </c>
      <c r="L65" s="288">
        <f t="shared" si="22"/>
        <v>0</v>
      </c>
      <c r="M65" s="288">
        <f t="shared" si="22"/>
        <v>0</v>
      </c>
      <c r="N65" s="288">
        <f t="shared" si="22"/>
        <v>0</v>
      </c>
      <c r="O65" s="288">
        <f t="shared" si="22"/>
        <v>0</v>
      </c>
      <c r="P65" s="288">
        <f t="shared" si="22"/>
        <v>0</v>
      </c>
      <c r="Q65" s="288">
        <f t="shared" si="22"/>
        <v>0</v>
      </c>
      <c r="R65" s="288">
        <f t="shared" si="22"/>
        <v>0</v>
      </c>
      <c r="S65" s="288">
        <f t="shared" si="22"/>
        <v>0</v>
      </c>
      <c r="T65" s="288">
        <f t="shared" si="22"/>
        <v>0</v>
      </c>
      <c r="U65" s="265"/>
      <c r="V65" s="264"/>
      <c r="W65" s="264"/>
      <c r="X65" s="264"/>
      <c r="Y65" s="264"/>
      <c r="Z65" s="264"/>
      <c r="AA65" s="264"/>
      <c r="AB65" s="264"/>
      <c r="AC65" s="264"/>
      <c r="AD65" s="264"/>
      <c r="AE65" s="264"/>
      <c r="AF65" s="264"/>
      <c r="AG65" s="264"/>
      <c r="AH65" s="264"/>
      <c r="AI65" s="264"/>
    </row>
    <row r="66" spans="1:35" ht="19.5" customHeight="1" x14ac:dyDescent="0.25">
      <c r="A66" s="331" t="s">
        <v>8</v>
      </c>
      <c r="B66" s="501" t="s">
        <v>567</v>
      </c>
      <c r="C66" s="501"/>
      <c r="D66" s="501"/>
      <c r="E66" s="501"/>
      <c r="F66" s="501"/>
      <c r="G66" s="501"/>
      <c r="H66" s="501"/>
      <c r="I66" s="501"/>
      <c r="J66" s="312">
        <f>J65*J33</f>
        <v>6.0000000000000001E-3</v>
      </c>
      <c r="K66" s="288">
        <f>K$62*$J66</f>
        <v>7.27</v>
      </c>
      <c r="L66" s="288">
        <f t="shared" si="22"/>
        <v>0</v>
      </c>
      <c r="M66" s="288">
        <f t="shared" si="22"/>
        <v>0</v>
      </c>
      <c r="N66" s="288">
        <f t="shared" si="22"/>
        <v>0</v>
      </c>
      <c r="O66" s="288">
        <f t="shared" si="22"/>
        <v>0</v>
      </c>
      <c r="P66" s="288">
        <f t="shared" si="22"/>
        <v>0</v>
      </c>
      <c r="Q66" s="288">
        <f t="shared" si="22"/>
        <v>0</v>
      </c>
      <c r="R66" s="288">
        <f t="shared" si="22"/>
        <v>0</v>
      </c>
      <c r="S66" s="288">
        <f t="shared" si="22"/>
        <v>0</v>
      </c>
      <c r="T66" s="288">
        <f t="shared" si="22"/>
        <v>0</v>
      </c>
      <c r="U66" s="265"/>
      <c r="V66" s="264"/>
      <c r="W66" s="264"/>
      <c r="X66" s="264"/>
      <c r="Y66" s="264"/>
      <c r="Z66" s="264"/>
      <c r="AA66" s="264"/>
      <c r="AB66" s="264"/>
      <c r="AC66" s="264"/>
      <c r="AD66" s="264"/>
      <c r="AE66" s="264"/>
      <c r="AF66" s="264"/>
      <c r="AG66" s="264"/>
      <c r="AH66" s="264"/>
      <c r="AI66" s="264"/>
    </row>
    <row r="67" spans="1:35" ht="19.5" customHeight="1" x14ac:dyDescent="0.25">
      <c r="A67" s="531" t="s">
        <v>568</v>
      </c>
      <c r="B67" s="532"/>
      <c r="C67" s="532"/>
      <c r="D67" s="532"/>
      <c r="E67" s="532"/>
      <c r="F67" s="532"/>
      <c r="G67" s="532"/>
      <c r="H67" s="532"/>
      <c r="I67" s="532"/>
      <c r="J67" s="533"/>
      <c r="K67" s="309">
        <f>K23</f>
        <v>1088.29</v>
      </c>
      <c r="L67" s="309">
        <f t="shared" ref="L67:T67" si="23">L23</f>
        <v>0</v>
      </c>
      <c r="M67" s="309">
        <f t="shared" si="23"/>
        <v>0</v>
      </c>
      <c r="N67" s="309">
        <f t="shared" si="23"/>
        <v>0</v>
      </c>
      <c r="O67" s="309">
        <f t="shared" si="23"/>
        <v>0</v>
      </c>
      <c r="P67" s="309">
        <f t="shared" si="23"/>
        <v>0</v>
      </c>
      <c r="Q67" s="309">
        <f t="shared" si="23"/>
        <v>0</v>
      </c>
      <c r="R67" s="309">
        <f t="shared" si="23"/>
        <v>0</v>
      </c>
      <c r="S67" s="309">
        <f t="shared" si="23"/>
        <v>0</v>
      </c>
      <c r="T67" s="309">
        <f t="shared" si="23"/>
        <v>0</v>
      </c>
      <c r="U67" s="265"/>
      <c r="V67" s="264"/>
      <c r="W67" s="264"/>
      <c r="X67" s="264"/>
      <c r="Y67" s="264"/>
      <c r="Z67" s="264"/>
      <c r="AA67" s="264"/>
      <c r="AB67" s="264"/>
      <c r="AC67" s="264"/>
      <c r="AD67" s="264"/>
      <c r="AE67" s="264"/>
      <c r="AF67" s="264"/>
      <c r="AG67" s="264"/>
      <c r="AH67" s="264"/>
      <c r="AI67" s="264"/>
    </row>
    <row r="68" spans="1:35" ht="19.5" customHeight="1" x14ac:dyDescent="0.25">
      <c r="A68" s="331" t="s">
        <v>10</v>
      </c>
      <c r="B68" s="534" t="s">
        <v>569</v>
      </c>
      <c r="C68" s="534"/>
      <c r="D68" s="534"/>
      <c r="E68" s="534"/>
      <c r="F68" s="534"/>
      <c r="G68" s="534"/>
      <c r="H68" s="534"/>
      <c r="I68" s="534"/>
      <c r="J68" s="313">
        <v>0.05</v>
      </c>
      <c r="K68" s="280">
        <f>K67*$J68</f>
        <v>54.41</v>
      </c>
      <c r="L68" s="280">
        <f t="shared" ref="L68:S68" si="24">L67*$J68</f>
        <v>0</v>
      </c>
      <c r="M68" s="280">
        <f t="shared" si="24"/>
        <v>0</v>
      </c>
      <c r="N68" s="280">
        <f t="shared" si="24"/>
        <v>0</v>
      </c>
      <c r="O68" s="280">
        <f t="shared" si="24"/>
        <v>0</v>
      </c>
      <c r="P68" s="280">
        <f t="shared" si="24"/>
        <v>0</v>
      </c>
      <c r="Q68" s="280">
        <f t="shared" si="24"/>
        <v>0</v>
      </c>
      <c r="R68" s="280">
        <f t="shared" si="24"/>
        <v>0</v>
      </c>
      <c r="S68" s="280">
        <f t="shared" si="24"/>
        <v>0</v>
      </c>
      <c r="T68" s="280">
        <f>T67*$J68</f>
        <v>0</v>
      </c>
      <c r="U68" s="265"/>
      <c r="V68" s="264"/>
      <c r="W68" s="264"/>
      <c r="X68" s="264"/>
      <c r="Y68" s="264"/>
      <c r="Z68" s="264"/>
      <c r="AA68" s="264"/>
      <c r="AB68" s="264"/>
      <c r="AC68" s="264"/>
      <c r="AD68" s="264"/>
      <c r="AE68" s="264"/>
      <c r="AF68" s="264"/>
      <c r="AG68" s="264"/>
      <c r="AH68" s="264"/>
      <c r="AI68" s="264"/>
    </row>
    <row r="69" spans="1:35" ht="19.5" customHeight="1" x14ac:dyDescent="0.25">
      <c r="A69" s="511" t="s">
        <v>75</v>
      </c>
      <c r="B69" s="511"/>
      <c r="C69" s="511"/>
      <c r="D69" s="511"/>
      <c r="E69" s="511"/>
      <c r="F69" s="511"/>
      <c r="G69" s="511"/>
      <c r="H69" s="511"/>
      <c r="I69" s="511"/>
      <c r="J69" s="314">
        <f>J63+J64+J65+J66+J68</f>
        <v>7.9899999999999999E-2</v>
      </c>
      <c r="K69" s="290">
        <f>K63+K64+K65+K66+K68</f>
        <v>90.64</v>
      </c>
      <c r="L69" s="290">
        <f t="shared" ref="L69:T69" si="25">L63+L64+L65+L66+L68</f>
        <v>0</v>
      </c>
      <c r="M69" s="290">
        <f t="shared" si="25"/>
        <v>0</v>
      </c>
      <c r="N69" s="290">
        <f t="shared" si="25"/>
        <v>0</v>
      </c>
      <c r="O69" s="290">
        <f t="shared" si="25"/>
        <v>0</v>
      </c>
      <c r="P69" s="290">
        <f t="shared" si="25"/>
        <v>0</v>
      </c>
      <c r="Q69" s="290">
        <f t="shared" si="25"/>
        <v>0</v>
      </c>
      <c r="R69" s="290">
        <f t="shared" si="25"/>
        <v>0</v>
      </c>
      <c r="S69" s="290">
        <f t="shared" si="25"/>
        <v>0</v>
      </c>
      <c r="T69" s="290">
        <f t="shared" si="25"/>
        <v>0</v>
      </c>
      <c r="U69" s="265"/>
      <c r="V69" s="264"/>
      <c r="W69" s="264"/>
      <c r="X69" s="264"/>
      <c r="Y69" s="264"/>
      <c r="Z69" s="264"/>
      <c r="AA69" s="264"/>
      <c r="AB69" s="264"/>
      <c r="AC69" s="264"/>
      <c r="AD69" s="264"/>
      <c r="AE69" s="264"/>
      <c r="AF69" s="264"/>
      <c r="AG69" s="264"/>
      <c r="AH69" s="264"/>
      <c r="AI69" s="264"/>
    </row>
    <row r="70" spans="1:35" ht="19.5" customHeight="1" x14ac:dyDescent="0.25">
      <c r="A70" s="512"/>
      <c r="B70" s="512"/>
      <c r="C70" s="512"/>
      <c r="D70" s="512"/>
      <c r="E70" s="512"/>
      <c r="F70" s="512"/>
      <c r="G70" s="512"/>
      <c r="H70" s="512"/>
      <c r="I70" s="512"/>
      <c r="J70" s="512"/>
      <c r="K70" s="512"/>
      <c r="L70" s="265"/>
      <c r="M70" s="264"/>
      <c r="N70" s="264"/>
      <c r="O70" s="264"/>
      <c r="P70" s="264"/>
      <c r="Q70" s="264"/>
      <c r="R70" s="264"/>
      <c r="S70" s="264"/>
      <c r="T70" s="264"/>
      <c r="U70" s="265"/>
      <c r="V70" s="264"/>
      <c r="W70" s="264"/>
      <c r="X70" s="264"/>
      <c r="Y70" s="264"/>
      <c r="Z70" s="264"/>
      <c r="AA70" s="264"/>
      <c r="AB70" s="264"/>
      <c r="AC70" s="264"/>
      <c r="AD70" s="264"/>
      <c r="AE70" s="264"/>
      <c r="AF70" s="264"/>
      <c r="AG70" s="264"/>
      <c r="AH70" s="264"/>
      <c r="AI70" s="264"/>
    </row>
    <row r="71" spans="1:35" ht="19.5" customHeight="1" x14ac:dyDescent="0.25">
      <c r="A71" s="513" t="s">
        <v>570</v>
      </c>
      <c r="B71" s="513"/>
      <c r="C71" s="513"/>
      <c r="D71" s="513"/>
      <c r="E71" s="513"/>
      <c r="F71" s="513"/>
      <c r="G71" s="513"/>
      <c r="H71" s="513"/>
      <c r="I71" s="513"/>
      <c r="J71" s="513"/>
      <c r="K71" s="535"/>
      <c r="L71" s="535">
        <f t="shared" ref="L71:T71" si="26">L61</f>
        <v>0</v>
      </c>
      <c r="M71" s="535">
        <f t="shared" si="26"/>
        <v>0</v>
      </c>
      <c r="N71" s="535">
        <f t="shared" si="26"/>
        <v>0</v>
      </c>
      <c r="O71" s="535">
        <f t="shared" si="26"/>
        <v>0</v>
      </c>
      <c r="P71" s="535">
        <f t="shared" si="26"/>
        <v>0</v>
      </c>
      <c r="Q71" s="535">
        <f t="shared" si="26"/>
        <v>0</v>
      </c>
      <c r="R71" s="535">
        <f t="shared" si="26"/>
        <v>0</v>
      </c>
      <c r="S71" s="535">
        <f t="shared" si="26"/>
        <v>0</v>
      </c>
      <c r="T71" s="535">
        <f t="shared" si="26"/>
        <v>0</v>
      </c>
      <c r="U71" s="265"/>
      <c r="V71" s="264"/>
      <c r="W71" s="264"/>
      <c r="X71" s="264"/>
      <c r="Y71" s="264"/>
      <c r="Z71" s="264"/>
      <c r="AA71" s="264"/>
      <c r="AB71" s="264"/>
      <c r="AC71" s="264"/>
      <c r="AD71" s="264"/>
      <c r="AE71" s="264"/>
      <c r="AF71" s="264"/>
      <c r="AG71" s="264"/>
      <c r="AH71" s="264"/>
      <c r="AI71" s="264"/>
    </row>
    <row r="72" spans="1:35" ht="19.5" customHeight="1" x14ac:dyDescent="0.25">
      <c r="A72" s="513" t="s">
        <v>571</v>
      </c>
      <c r="B72" s="513"/>
      <c r="C72" s="513"/>
      <c r="D72" s="513"/>
      <c r="E72" s="513"/>
      <c r="F72" s="513"/>
      <c r="G72" s="513"/>
      <c r="H72" s="513"/>
      <c r="I72" s="513"/>
      <c r="J72" s="513"/>
      <c r="K72" s="535"/>
      <c r="L72" s="535"/>
      <c r="M72" s="535"/>
      <c r="N72" s="535"/>
      <c r="O72" s="535"/>
      <c r="P72" s="535"/>
      <c r="Q72" s="535"/>
      <c r="R72" s="535"/>
      <c r="S72" s="535"/>
      <c r="T72" s="535"/>
      <c r="U72" s="265"/>
      <c r="V72" s="264"/>
      <c r="W72" s="264"/>
      <c r="X72" s="264"/>
      <c r="Y72" s="264"/>
      <c r="Z72" s="264"/>
      <c r="AA72" s="264"/>
      <c r="AB72" s="264"/>
      <c r="AC72" s="264"/>
      <c r="AD72" s="264"/>
      <c r="AE72" s="264"/>
      <c r="AF72" s="264"/>
      <c r="AG72" s="264"/>
      <c r="AH72" s="264"/>
      <c r="AI72" s="264"/>
    </row>
    <row r="73" spans="1:35" ht="19.5" customHeight="1" x14ac:dyDescent="0.25">
      <c r="A73" s="542" t="s">
        <v>572</v>
      </c>
      <c r="B73" s="532"/>
      <c r="C73" s="532"/>
      <c r="D73" s="532"/>
      <c r="E73" s="532"/>
      <c r="F73" s="532"/>
      <c r="G73" s="532"/>
      <c r="H73" s="532"/>
      <c r="I73" s="532"/>
      <c r="J73" s="533"/>
      <c r="K73" s="309">
        <f>K23</f>
        <v>1088.29</v>
      </c>
      <c r="L73" s="309">
        <f t="shared" ref="L73:T73" si="27">L23</f>
        <v>0</v>
      </c>
      <c r="M73" s="309">
        <f t="shared" si="27"/>
        <v>0</v>
      </c>
      <c r="N73" s="309">
        <f t="shared" si="27"/>
        <v>0</v>
      </c>
      <c r="O73" s="309">
        <f t="shared" si="27"/>
        <v>0</v>
      </c>
      <c r="P73" s="309">
        <f t="shared" si="27"/>
        <v>0</v>
      </c>
      <c r="Q73" s="309">
        <f t="shared" si="27"/>
        <v>0</v>
      </c>
      <c r="R73" s="309">
        <f t="shared" si="27"/>
        <v>0</v>
      </c>
      <c r="S73" s="309">
        <f t="shared" si="27"/>
        <v>0</v>
      </c>
      <c r="T73" s="309">
        <f t="shared" si="27"/>
        <v>0</v>
      </c>
      <c r="U73" s="265"/>
      <c r="V73" s="264"/>
      <c r="W73" s="264"/>
      <c r="X73" s="264"/>
      <c r="Y73" s="264"/>
      <c r="Z73" s="264"/>
      <c r="AA73" s="264"/>
      <c r="AB73" s="264"/>
      <c r="AC73" s="264"/>
      <c r="AD73" s="264"/>
      <c r="AE73" s="264"/>
      <c r="AF73" s="264"/>
      <c r="AG73" s="264"/>
      <c r="AH73" s="264"/>
      <c r="AI73" s="264"/>
    </row>
    <row r="74" spans="1:35" ht="19.5" customHeight="1" x14ac:dyDescent="0.25">
      <c r="A74" s="331" t="s">
        <v>3</v>
      </c>
      <c r="B74" s="534" t="s">
        <v>573</v>
      </c>
      <c r="C74" s="534"/>
      <c r="D74" s="534"/>
      <c r="E74" s="534"/>
      <c r="F74" s="534"/>
      <c r="G74" s="534"/>
      <c r="H74" s="534"/>
      <c r="I74" s="534"/>
      <c r="J74" s="313">
        <v>0.121</v>
      </c>
      <c r="K74" s="280">
        <f>K73*$J74</f>
        <v>131.68</v>
      </c>
      <c r="L74" s="280">
        <f t="shared" ref="L74:T74" si="28">L73*$J74</f>
        <v>0</v>
      </c>
      <c r="M74" s="280">
        <f t="shared" si="28"/>
        <v>0</v>
      </c>
      <c r="N74" s="280">
        <f t="shared" si="28"/>
        <v>0</v>
      </c>
      <c r="O74" s="280">
        <f t="shared" si="28"/>
        <v>0</v>
      </c>
      <c r="P74" s="280">
        <f t="shared" si="28"/>
        <v>0</v>
      </c>
      <c r="Q74" s="280">
        <f t="shared" si="28"/>
        <v>0</v>
      </c>
      <c r="R74" s="280">
        <f t="shared" si="28"/>
        <v>0</v>
      </c>
      <c r="S74" s="280">
        <f t="shared" si="28"/>
        <v>0</v>
      </c>
      <c r="T74" s="280">
        <f t="shared" si="28"/>
        <v>0</v>
      </c>
      <c r="U74" s="265"/>
      <c r="V74" s="264"/>
      <c r="W74" s="264"/>
      <c r="X74" s="264"/>
      <c r="Y74" s="264"/>
      <c r="Z74" s="264"/>
      <c r="AA74" s="264"/>
      <c r="AB74" s="264"/>
      <c r="AC74" s="264"/>
      <c r="AD74" s="264"/>
      <c r="AE74" s="264"/>
      <c r="AF74" s="264"/>
      <c r="AG74" s="264"/>
      <c r="AH74" s="264"/>
      <c r="AI74" s="264"/>
    </row>
    <row r="75" spans="1:35" ht="19.5" customHeight="1" x14ac:dyDescent="0.25">
      <c r="A75" s="531" t="s">
        <v>574</v>
      </c>
      <c r="B75" s="531"/>
      <c r="C75" s="531"/>
      <c r="D75" s="531"/>
      <c r="E75" s="531"/>
      <c r="F75" s="531"/>
      <c r="G75" s="531"/>
      <c r="H75" s="531"/>
      <c r="I75" s="531"/>
      <c r="J75" s="531"/>
      <c r="K75" s="309">
        <f t="shared" ref="K75:T75" si="29">K62</f>
        <v>1211.92</v>
      </c>
      <c r="L75" s="309">
        <f t="shared" si="29"/>
        <v>0</v>
      </c>
      <c r="M75" s="309">
        <f t="shared" si="29"/>
        <v>0</v>
      </c>
      <c r="N75" s="309">
        <f t="shared" si="29"/>
        <v>0</v>
      </c>
      <c r="O75" s="309">
        <f t="shared" si="29"/>
        <v>0</v>
      </c>
      <c r="P75" s="309">
        <f t="shared" si="29"/>
        <v>0</v>
      </c>
      <c r="Q75" s="309">
        <f t="shared" si="29"/>
        <v>0</v>
      </c>
      <c r="R75" s="309">
        <f t="shared" si="29"/>
        <v>0</v>
      </c>
      <c r="S75" s="309">
        <f t="shared" si="29"/>
        <v>0</v>
      </c>
      <c r="T75" s="309">
        <f t="shared" si="29"/>
        <v>0</v>
      </c>
      <c r="U75" s="265"/>
      <c r="V75" s="264"/>
      <c r="W75" s="264"/>
      <c r="X75" s="264"/>
      <c r="Y75" s="264"/>
      <c r="Z75" s="264"/>
      <c r="AA75" s="264"/>
      <c r="AB75" s="264"/>
      <c r="AC75" s="264"/>
      <c r="AD75" s="264"/>
      <c r="AE75" s="264"/>
      <c r="AF75" s="264"/>
      <c r="AG75" s="264"/>
      <c r="AH75" s="264"/>
      <c r="AI75" s="264"/>
    </row>
    <row r="76" spans="1:35" ht="19.5" customHeight="1" x14ac:dyDescent="0.25">
      <c r="A76" s="331" t="s">
        <v>5</v>
      </c>
      <c r="B76" s="501" t="s">
        <v>114</v>
      </c>
      <c r="C76" s="501"/>
      <c r="D76" s="501"/>
      <c r="E76" s="501"/>
      <c r="F76" s="501"/>
      <c r="G76" s="501"/>
      <c r="H76" s="501"/>
      <c r="I76" s="501"/>
      <c r="J76" s="312">
        <f>'[2]Dados do Licitante'!H83</f>
        <v>1.37E-2</v>
      </c>
      <c r="K76" s="288">
        <f t="shared" ref="K76:T82" si="30">K$75*$J76</f>
        <v>16.600000000000001</v>
      </c>
      <c r="L76" s="288">
        <f t="shared" si="30"/>
        <v>0</v>
      </c>
      <c r="M76" s="288">
        <f t="shared" si="30"/>
        <v>0</v>
      </c>
      <c r="N76" s="288">
        <f t="shared" si="30"/>
        <v>0</v>
      </c>
      <c r="O76" s="288">
        <f t="shared" si="30"/>
        <v>0</v>
      </c>
      <c r="P76" s="288">
        <f t="shared" si="30"/>
        <v>0</v>
      </c>
      <c r="Q76" s="288">
        <f t="shared" si="30"/>
        <v>0</v>
      </c>
      <c r="R76" s="288">
        <f t="shared" si="30"/>
        <v>0</v>
      </c>
      <c r="S76" s="288">
        <f t="shared" si="30"/>
        <v>0</v>
      </c>
      <c r="T76" s="288">
        <f t="shared" si="30"/>
        <v>0</v>
      </c>
      <c r="U76" s="265"/>
      <c r="V76" s="264"/>
      <c r="W76" s="264"/>
      <c r="X76" s="264"/>
      <c r="Y76" s="264"/>
      <c r="Z76" s="264"/>
      <c r="AA76" s="264"/>
      <c r="AB76" s="264"/>
      <c r="AC76" s="264"/>
      <c r="AD76" s="264"/>
      <c r="AE76" s="264"/>
      <c r="AF76" s="264"/>
      <c r="AG76" s="264"/>
      <c r="AH76" s="264"/>
      <c r="AI76" s="264"/>
    </row>
    <row r="77" spans="1:35" ht="19.5" customHeight="1" x14ac:dyDescent="0.25">
      <c r="A77" s="331" t="s">
        <v>6</v>
      </c>
      <c r="B77" s="501" t="s">
        <v>575</v>
      </c>
      <c r="C77" s="501"/>
      <c r="D77" s="501"/>
      <c r="E77" s="501"/>
      <c r="F77" s="501"/>
      <c r="G77" s="501"/>
      <c r="H77" s="501"/>
      <c r="I77" s="501"/>
      <c r="J77" s="312">
        <f>'[2]Dados do Licitante'!H84</f>
        <v>1.37E-2</v>
      </c>
      <c r="K77" s="288">
        <f t="shared" si="30"/>
        <v>16.600000000000001</v>
      </c>
      <c r="L77" s="288">
        <f t="shared" si="30"/>
        <v>0</v>
      </c>
      <c r="M77" s="288">
        <f t="shared" si="30"/>
        <v>0</v>
      </c>
      <c r="N77" s="288">
        <f t="shared" si="30"/>
        <v>0</v>
      </c>
      <c r="O77" s="288">
        <f t="shared" si="30"/>
        <v>0</v>
      </c>
      <c r="P77" s="288">
        <f t="shared" si="30"/>
        <v>0</v>
      </c>
      <c r="Q77" s="288">
        <f t="shared" si="30"/>
        <v>0</v>
      </c>
      <c r="R77" s="288">
        <f t="shared" si="30"/>
        <v>0</v>
      </c>
      <c r="S77" s="288">
        <f t="shared" si="30"/>
        <v>0</v>
      </c>
      <c r="T77" s="288">
        <f t="shared" si="30"/>
        <v>0</v>
      </c>
      <c r="U77" s="265"/>
      <c r="V77" s="265"/>
      <c r="W77" s="265"/>
      <c r="X77" s="265"/>
      <c r="Y77" s="265"/>
      <c r="Z77" s="265"/>
      <c r="AA77" s="265"/>
      <c r="AB77" s="265"/>
      <c r="AC77" s="265"/>
      <c r="AD77" s="265"/>
      <c r="AE77" s="265"/>
      <c r="AF77" s="265"/>
      <c r="AG77" s="265"/>
      <c r="AH77" s="265"/>
      <c r="AI77" s="265"/>
    </row>
    <row r="78" spans="1:35" ht="19.5" customHeight="1" x14ac:dyDescent="0.25">
      <c r="A78" s="331" t="s">
        <v>8</v>
      </c>
      <c r="B78" s="501" t="s">
        <v>576</v>
      </c>
      <c r="C78" s="501"/>
      <c r="D78" s="501"/>
      <c r="E78" s="501"/>
      <c r="F78" s="501"/>
      <c r="G78" s="501"/>
      <c r="H78" s="501"/>
      <c r="I78" s="501"/>
      <c r="J78" s="312">
        <f>'[2]Dados do Licitante'!H85</f>
        <v>1E-4</v>
      </c>
      <c r="K78" s="288">
        <f t="shared" si="30"/>
        <v>0.12</v>
      </c>
      <c r="L78" s="288">
        <f t="shared" si="30"/>
        <v>0</v>
      </c>
      <c r="M78" s="288">
        <f t="shared" si="30"/>
        <v>0</v>
      </c>
      <c r="N78" s="288">
        <f t="shared" si="30"/>
        <v>0</v>
      </c>
      <c r="O78" s="288">
        <f t="shared" si="30"/>
        <v>0</v>
      </c>
      <c r="P78" s="288">
        <f t="shared" si="30"/>
        <v>0</v>
      </c>
      <c r="Q78" s="288">
        <f t="shared" si="30"/>
        <v>0</v>
      </c>
      <c r="R78" s="288">
        <f t="shared" si="30"/>
        <v>0</v>
      </c>
      <c r="S78" s="288">
        <f t="shared" si="30"/>
        <v>0</v>
      </c>
      <c r="T78" s="288">
        <f t="shared" si="30"/>
        <v>0</v>
      </c>
      <c r="U78" s="265"/>
      <c r="V78" s="265"/>
      <c r="W78" s="265"/>
      <c r="X78" s="265"/>
      <c r="Y78" s="265"/>
      <c r="Z78" s="265"/>
      <c r="AA78" s="265"/>
      <c r="AB78" s="265"/>
      <c r="AC78" s="265"/>
      <c r="AD78" s="265"/>
      <c r="AE78" s="265"/>
      <c r="AF78" s="265"/>
      <c r="AG78" s="265"/>
      <c r="AH78" s="265"/>
      <c r="AI78" s="265"/>
    </row>
    <row r="79" spans="1:35" ht="19.5" customHeight="1" x14ac:dyDescent="0.25">
      <c r="A79" s="331" t="s">
        <v>10</v>
      </c>
      <c r="B79" s="541" t="s">
        <v>577</v>
      </c>
      <c r="C79" s="541"/>
      <c r="D79" s="541"/>
      <c r="E79" s="541"/>
      <c r="F79" s="541"/>
      <c r="G79" s="541"/>
      <c r="H79" s="541"/>
      <c r="I79" s="541"/>
      <c r="J79" s="312">
        <f>'[2]Dados do Licitante'!H86</f>
        <v>2.9999999999999997E-4</v>
      </c>
      <c r="K79" s="288">
        <f t="shared" si="30"/>
        <v>0.36</v>
      </c>
      <c r="L79" s="288">
        <f t="shared" si="30"/>
        <v>0</v>
      </c>
      <c r="M79" s="288">
        <f t="shared" si="30"/>
        <v>0</v>
      </c>
      <c r="N79" s="288">
        <f t="shared" si="30"/>
        <v>0</v>
      </c>
      <c r="O79" s="288">
        <f t="shared" si="30"/>
        <v>0</v>
      </c>
      <c r="P79" s="288">
        <f t="shared" si="30"/>
        <v>0</v>
      </c>
      <c r="Q79" s="288">
        <f t="shared" si="30"/>
        <v>0</v>
      </c>
      <c r="R79" s="288">
        <f t="shared" si="30"/>
        <v>0</v>
      </c>
      <c r="S79" s="288">
        <f t="shared" si="30"/>
        <v>0</v>
      </c>
      <c r="T79" s="288">
        <f t="shared" si="30"/>
        <v>0</v>
      </c>
      <c r="U79" s="265"/>
      <c r="V79" s="265"/>
      <c r="W79" s="265"/>
      <c r="X79" s="265"/>
      <c r="Y79" s="265"/>
      <c r="Z79" s="265"/>
      <c r="AA79" s="265"/>
      <c r="AB79" s="265"/>
      <c r="AC79" s="265"/>
      <c r="AD79" s="265"/>
      <c r="AE79" s="265"/>
      <c r="AF79" s="265"/>
      <c r="AG79" s="265"/>
      <c r="AH79" s="265"/>
      <c r="AI79" s="265"/>
    </row>
    <row r="80" spans="1:35" ht="19.5" customHeight="1" x14ac:dyDescent="0.25">
      <c r="A80" s="331" t="s">
        <v>12</v>
      </c>
      <c r="B80" s="541" t="s">
        <v>88</v>
      </c>
      <c r="C80" s="541"/>
      <c r="D80" s="541"/>
      <c r="E80" s="541"/>
      <c r="F80" s="541"/>
      <c r="G80" s="541"/>
      <c r="H80" s="541"/>
      <c r="I80" s="541"/>
      <c r="J80" s="312">
        <f>'[2]Dados do Licitante'!H87</f>
        <v>6.6E-3</v>
      </c>
      <c r="K80" s="288">
        <f t="shared" si="30"/>
        <v>8</v>
      </c>
      <c r="L80" s="288">
        <f t="shared" si="30"/>
        <v>0</v>
      </c>
      <c r="M80" s="288">
        <f t="shared" si="30"/>
        <v>0</v>
      </c>
      <c r="N80" s="288">
        <f t="shared" si="30"/>
        <v>0</v>
      </c>
      <c r="O80" s="288">
        <f t="shared" si="30"/>
        <v>0</v>
      </c>
      <c r="P80" s="288">
        <f t="shared" si="30"/>
        <v>0</v>
      </c>
      <c r="Q80" s="288">
        <f t="shared" si="30"/>
        <v>0</v>
      </c>
      <c r="R80" s="288">
        <f t="shared" si="30"/>
        <v>0</v>
      </c>
      <c r="S80" s="288">
        <f t="shared" si="30"/>
        <v>0</v>
      </c>
      <c r="T80" s="288">
        <f t="shared" si="30"/>
        <v>0</v>
      </c>
      <c r="U80" s="265"/>
      <c r="V80" s="265"/>
      <c r="W80" s="265"/>
      <c r="X80" s="265"/>
      <c r="Y80" s="265"/>
      <c r="Z80" s="265"/>
      <c r="AA80" s="265"/>
      <c r="AB80" s="265"/>
      <c r="AC80" s="265"/>
      <c r="AD80" s="265"/>
      <c r="AE80" s="265"/>
      <c r="AF80" s="265"/>
      <c r="AG80" s="265"/>
      <c r="AH80" s="265"/>
      <c r="AI80" s="265"/>
    </row>
    <row r="81" spans="1:35" ht="19.5" customHeight="1" x14ac:dyDescent="0.25">
      <c r="A81" s="331" t="s">
        <v>26</v>
      </c>
      <c r="B81" s="501" t="s">
        <v>28</v>
      </c>
      <c r="C81" s="501"/>
      <c r="D81" s="501"/>
      <c r="E81" s="501"/>
      <c r="F81" s="501"/>
      <c r="G81" s="501"/>
      <c r="H81" s="501"/>
      <c r="I81" s="501"/>
      <c r="J81" s="312">
        <f>'[2]Dados do Licitante'!H88</f>
        <v>0</v>
      </c>
      <c r="K81" s="288">
        <f t="shared" si="30"/>
        <v>0</v>
      </c>
      <c r="L81" s="288">
        <f t="shared" si="30"/>
        <v>0</v>
      </c>
      <c r="M81" s="288">
        <f t="shared" si="30"/>
        <v>0</v>
      </c>
      <c r="N81" s="288">
        <f t="shared" si="30"/>
        <v>0</v>
      </c>
      <c r="O81" s="288">
        <f t="shared" si="30"/>
        <v>0</v>
      </c>
      <c r="P81" s="288">
        <f t="shared" si="30"/>
        <v>0</v>
      </c>
      <c r="Q81" s="288">
        <f t="shared" si="30"/>
        <v>0</v>
      </c>
      <c r="R81" s="288">
        <f t="shared" si="30"/>
        <v>0</v>
      </c>
      <c r="S81" s="288">
        <f t="shared" si="30"/>
        <v>0</v>
      </c>
      <c r="T81" s="288">
        <f t="shared" si="30"/>
        <v>0</v>
      </c>
      <c r="U81" s="265"/>
      <c r="V81" s="265"/>
      <c r="W81" s="265"/>
      <c r="X81" s="265"/>
      <c r="Y81" s="265"/>
      <c r="Z81" s="265"/>
      <c r="AA81" s="265"/>
      <c r="AB81" s="265"/>
      <c r="AC81" s="265"/>
      <c r="AD81" s="265"/>
      <c r="AE81" s="265"/>
      <c r="AF81" s="265"/>
      <c r="AG81" s="265"/>
      <c r="AH81" s="265"/>
      <c r="AI81" s="265"/>
    </row>
    <row r="82" spans="1:35" ht="19.5" hidden="1" customHeight="1" x14ac:dyDescent="0.25">
      <c r="A82" s="331" t="s">
        <v>27</v>
      </c>
      <c r="B82" s="501" t="s">
        <v>578</v>
      </c>
      <c r="C82" s="501"/>
      <c r="D82" s="501"/>
      <c r="E82" s="501"/>
      <c r="F82" s="501"/>
      <c r="G82" s="501"/>
      <c r="H82" s="501"/>
      <c r="I82" s="501"/>
      <c r="J82" s="312">
        <v>0</v>
      </c>
      <c r="K82" s="288">
        <f t="shared" si="30"/>
        <v>0</v>
      </c>
      <c r="L82" s="288">
        <f t="shared" si="30"/>
        <v>0</v>
      </c>
      <c r="M82" s="288">
        <f t="shared" si="30"/>
        <v>0</v>
      </c>
      <c r="N82" s="288">
        <f t="shared" si="30"/>
        <v>0</v>
      </c>
      <c r="O82" s="288">
        <f t="shared" si="30"/>
        <v>0</v>
      </c>
      <c r="P82" s="288">
        <f t="shared" si="30"/>
        <v>0</v>
      </c>
      <c r="Q82" s="288">
        <f t="shared" si="30"/>
        <v>0</v>
      </c>
      <c r="R82" s="288">
        <f t="shared" si="30"/>
        <v>0</v>
      </c>
      <c r="S82" s="288">
        <f t="shared" si="30"/>
        <v>0</v>
      </c>
      <c r="T82" s="288">
        <f t="shared" si="30"/>
        <v>0</v>
      </c>
      <c r="U82" s="265"/>
      <c r="V82" s="265"/>
      <c r="W82" s="265"/>
      <c r="X82" s="265"/>
      <c r="Y82" s="265"/>
      <c r="Z82" s="265"/>
      <c r="AA82" s="265"/>
      <c r="AB82" s="265"/>
      <c r="AC82" s="265"/>
      <c r="AD82" s="265"/>
      <c r="AE82" s="265"/>
      <c r="AF82" s="265"/>
      <c r="AG82" s="265"/>
      <c r="AH82" s="265"/>
      <c r="AI82" s="265"/>
    </row>
    <row r="83" spans="1:35" ht="19.5" customHeight="1" x14ac:dyDescent="0.25">
      <c r="A83" s="498" t="s">
        <v>75</v>
      </c>
      <c r="B83" s="498"/>
      <c r="C83" s="498"/>
      <c r="D83" s="498"/>
      <c r="E83" s="498"/>
      <c r="F83" s="498"/>
      <c r="G83" s="498"/>
      <c r="H83" s="498"/>
      <c r="I83" s="498"/>
      <c r="J83" s="293">
        <f>J74+J76+J77+J78+J79+J80+J81+J82</f>
        <v>0.15540000000000001</v>
      </c>
      <c r="K83" s="294">
        <f>K74+K76+K77+K78+K79+K80+K81+K82</f>
        <v>173.36</v>
      </c>
      <c r="L83" s="294">
        <f t="shared" ref="L83:T83" si="31">L74+L76+L77+L78+L79+L80+L81+L82</f>
        <v>0</v>
      </c>
      <c r="M83" s="294">
        <f t="shared" si="31"/>
        <v>0</v>
      </c>
      <c r="N83" s="294">
        <f t="shared" si="31"/>
        <v>0</v>
      </c>
      <c r="O83" s="294">
        <f t="shared" si="31"/>
        <v>0</v>
      </c>
      <c r="P83" s="294">
        <f t="shared" si="31"/>
        <v>0</v>
      </c>
      <c r="Q83" s="294">
        <f t="shared" si="31"/>
        <v>0</v>
      </c>
      <c r="R83" s="294">
        <f t="shared" si="31"/>
        <v>0</v>
      </c>
      <c r="S83" s="294">
        <f t="shared" si="31"/>
        <v>0</v>
      </c>
      <c r="T83" s="294">
        <f t="shared" si="31"/>
        <v>0</v>
      </c>
      <c r="U83" s="265"/>
      <c r="V83" s="265"/>
      <c r="W83" s="265"/>
      <c r="X83" s="265"/>
      <c r="Y83" s="265"/>
      <c r="Z83" s="265"/>
      <c r="AA83" s="265"/>
      <c r="AB83" s="265"/>
      <c r="AC83" s="265"/>
      <c r="AD83" s="265"/>
      <c r="AE83" s="265"/>
      <c r="AF83" s="265"/>
      <c r="AG83" s="265"/>
      <c r="AH83" s="265"/>
      <c r="AI83" s="265"/>
    </row>
    <row r="84" spans="1:35" ht="19.5" customHeight="1" x14ac:dyDescent="0.25">
      <c r="A84" s="543"/>
      <c r="B84" s="543"/>
      <c r="C84" s="543"/>
      <c r="D84" s="543"/>
      <c r="E84" s="543"/>
      <c r="F84" s="543"/>
      <c r="G84" s="543"/>
      <c r="H84" s="543"/>
      <c r="I84" s="543"/>
      <c r="J84" s="543"/>
      <c r="K84" s="543"/>
      <c r="L84" s="265"/>
      <c r="M84" s="264"/>
      <c r="N84" s="264"/>
      <c r="O84" s="264"/>
      <c r="P84" s="264"/>
      <c r="Q84" s="264"/>
      <c r="R84" s="264"/>
      <c r="S84" s="264"/>
      <c r="T84" s="264"/>
      <c r="U84" s="265"/>
      <c r="V84" s="265"/>
      <c r="W84" s="265"/>
      <c r="X84" s="265"/>
      <c r="Y84" s="265"/>
      <c r="Z84" s="265"/>
      <c r="AA84" s="265"/>
      <c r="AB84" s="265"/>
      <c r="AC84" s="265"/>
      <c r="AD84" s="265"/>
      <c r="AE84" s="265"/>
      <c r="AF84" s="265"/>
      <c r="AG84" s="265"/>
      <c r="AH84" s="265"/>
      <c r="AI84" s="265"/>
    </row>
    <row r="85" spans="1:35" ht="25.5" customHeight="1" x14ac:dyDescent="0.25">
      <c r="A85" s="513" t="s">
        <v>579</v>
      </c>
      <c r="B85" s="513"/>
      <c r="C85" s="513"/>
      <c r="D85" s="513"/>
      <c r="E85" s="513"/>
      <c r="F85" s="513"/>
      <c r="G85" s="513"/>
      <c r="H85" s="513"/>
      <c r="I85" s="513"/>
      <c r="J85" s="513"/>
      <c r="K85" s="336"/>
      <c r="L85" s="336">
        <f t="shared" ref="L85:T85" si="32">L71</f>
        <v>0</v>
      </c>
      <c r="M85" s="336">
        <f t="shared" si="32"/>
        <v>0</v>
      </c>
      <c r="N85" s="336">
        <f t="shared" si="32"/>
        <v>0</v>
      </c>
      <c r="O85" s="336">
        <f t="shared" si="32"/>
        <v>0</v>
      </c>
      <c r="P85" s="336">
        <f t="shared" si="32"/>
        <v>0</v>
      </c>
      <c r="Q85" s="336">
        <f t="shared" si="32"/>
        <v>0</v>
      </c>
      <c r="R85" s="336">
        <f t="shared" si="32"/>
        <v>0</v>
      </c>
      <c r="S85" s="336">
        <f t="shared" si="32"/>
        <v>0</v>
      </c>
      <c r="T85" s="336">
        <f t="shared" si="32"/>
        <v>0</v>
      </c>
      <c r="U85" s="265"/>
      <c r="V85" s="265"/>
      <c r="W85" s="265"/>
      <c r="X85" s="265"/>
      <c r="Y85" s="265"/>
      <c r="Z85" s="265"/>
      <c r="AA85" s="265"/>
      <c r="AB85" s="265"/>
      <c r="AC85" s="265"/>
      <c r="AD85" s="265"/>
      <c r="AE85" s="265"/>
      <c r="AF85" s="265"/>
      <c r="AG85" s="265"/>
      <c r="AH85" s="265"/>
      <c r="AI85" s="265"/>
    </row>
    <row r="86" spans="1:35" ht="19.5" customHeight="1" x14ac:dyDescent="0.25">
      <c r="A86" s="331" t="s">
        <v>3</v>
      </c>
      <c r="B86" s="544" t="s">
        <v>580</v>
      </c>
      <c r="C86" s="544"/>
      <c r="D86" s="544"/>
      <c r="E86" s="544"/>
      <c r="F86" s="544"/>
      <c r="G86" s="544"/>
      <c r="H86" s="544"/>
      <c r="I86" s="544"/>
      <c r="J86" s="315"/>
      <c r="K86" s="316">
        <v>0</v>
      </c>
      <c r="L86" s="316">
        <v>0</v>
      </c>
      <c r="M86" s="316">
        <v>0</v>
      </c>
      <c r="N86" s="316">
        <v>0</v>
      </c>
      <c r="O86" s="316">
        <v>0</v>
      </c>
      <c r="P86" s="316">
        <v>0</v>
      </c>
      <c r="Q86" s="316">
        <v>0</v>
      </c>
      <c r="R86" s="316">
        <v>0</v>
      </c>
      <c r="S86" s="316">
        <v>0</v>
      </c>
      <c r="T86" s="316">
        <v>0</v>
      </c>
      <c r="U86" s="265"/>
      <c r="V86" s="265"/>
      <c r="W86" s="265"/>
      <c r="X86" s="265"/>
      <c r="Y86" s="265"/>
      <c r="Z86" s="265"/>
      <c r="AA86" s="265"/>
      <c r="AB86" s="265"/>
      <c r="AC86" s="265"/>
      <c r="AD86" s="265"/>
      <c r="AE86" s="265"/>
      <c r="AF86" s="265"/>
      <c r="AG86" s="265"/>
      <c r="AH86" s="265"/>
      <c r="AI86" s="265"/>
    </row>
    <row r="87" spans="1:35" ht="19.5" customHeight="1" x14ac:dyDescent="0.25">
      <c r="A87" s="498" t="s">
        <v>75</v>
      </c>
      <c r="B87" s="498" t="s">
        <v>75</v>
      </c>
      <c r="C87" s="498"/>
      <c r="D87" s="498"/>
      <c r="E87" s="498"/>
      <c r="F87" s="498"/>
      <c r="G87" s="498"/>
      <c r="H87" s="498"/>
      <c r="I87" s="498"/>
      <c r="J87" s="293"/>
      <c r="K87" s="294">
        <f>K86</f>
        <v>0</v>
      </c>
      <c r="L87" s="294">
        <f t="shared" ref="L87:T87" si="33">L86</f>
        <v>0</v>
      </c>
      <c r="M87" s="294">
        <f t="shared" si="33"/>
        <v>0</v>
      </c>
      <c r="N87" s="294">
        <f t="shared" si="33"/>
        <v>0</v>
      </c>
      <c r="O87" s="294">
        <f t="shared" si="33"/>
        <v>0</v>
      </c>
      <c r="P87" s="294">
        <f t="shared" si="33"/>
        <v>0</v>
      </c>
      <c r="Q87" s="294">
        <f t="shared" si="33"/>
        <v>0</v>
      </c>
      <c r="R87" s="294">
        <f t="shared" si="33"/>
        <v>0</v>
      </c>
      <c r="S87" s="294">
        <f t="shared" si="33"/>
        <v>0</v>
      </c>
      <c r="T87" s="294">
        <f t="shared" si="33"/>
        <v>0</v>
      </c>
      <c r="U87" s="265"/>
      <c r="V87" s="265"/>
      <c r="W87" s="265"/>
      <c r="X87" s="265"/>
      <c r="Y87" s="265"/>
      <c r="Z87" s="265"/>
      <c r="AA87" s="265"/>
      <c r="AB87" s="265"/>
      <c r="AC87" s="265"/>
      <c r="AD87" s="265"/>
      <c r="AE87" s="265"/>
      <c r="AF87" s="265"/>
      <c r="AG87" s="265"/>
      <c r="AH87" s="265"/>
      <c r="AI87" s="265"/>
    </row>
    <row r="88" spans="1:35" ht="19.5" customHeight="1" x14ac:dyDescent="0.25">
      <c r="A88" s="543"/>
      <c r="B88" s="543"/>
      <c r="C88" s="543"/>
      <c r="D88" s="543"/>
      <c r="E88" s="543"/>
      <c r="F88" s="543"/>
      <c r="G88" s="543"/>
      <c r="H88" s="543"/>
      <c r="I88" s="543"/>
      <c r="J88" s="543"/>
      <c r="K88" s="543"/>
      <c r="L88" s="265"/>
      <c r="M88" s="264"/>
      <c r="N88" s="264"/>
      <c r="O88" s="264"/>
      <c r="P88" s="264"/>
      <c r="Q88" s="264"/>
      <c r="R88" s="264"/>
      <c r="S88" s="264"/>
      <c r="T88" s="264"/>
      <c r="U88" s="265"/>
      <c r="V88" s="265"/>
      <c r="W88" s="265"/>
      <c r="X88" s="265"/>
      <c r="Y88" s="265"/>
      <c r="Z88" s="265"/>
      <c r="AA88" s="265"/>
      <c r="AB88" s="265"/>
      <c r="AC88" s="265"/>
      <c r="AD88" s="265"/>
      <c r="AE88" s="265"/>
      <c r="AF88" s="265"/>
      <c r="AG88" s="265"/>
      <c r="AH88" s="265"/>
      <c r="AI88" s="265"/>
    </row>
    <row r="89" spans="1:35" ht="25.5" customHeight="1" x14ac:dyDescent="0.25">
      <c r="A89" s="498" t="s">
        <v>581</v>
      </c>
      <c r="B89" s="498"/>
      <c r="C89" s="498"/>
      <c r="D89" s="498"/>
      <c r="E89" s="498"/>
      <c r="F89" s="498"/>
      <c r="G89" s="498"/>
      <c r="H89" s="498"/>
      <c r="I89" s="498"/>
      <c r="J89" s="498"/>
      <c r="K89" s="336"/>
      <c r="L89" s="336">
        <f t="shared" ref="L89:T89" si="34">L85</f>
        <v>0</v>
      </c>
      <c r="M89" s="336">
        <f t="shared" si="34"/>
        <v>0</v>
      </c>
      <c r="N89" s="336">
        <f t="shared" si="34"/>
        <v>0</v>
      </c>
      <c r="O89" s="336">
        <f t="shared" si="34"/>
        <v>0</v>
      </c>
      <c r="P89" s="336">
        <f t="shared" si="34"/>
        <v>0</v>
      </c>
      <c r="Q89" s="336">
        <f t="shared" si="34"/>
        <v>0</v>
      </c>
      <c r="R89" s="336">
        <f t="shared" si="34"/>
        <v>0</v>
      </c>
      <c r="S89" s="336">
        <f t="shared" si="34"/>
        <v>0</v>
      </c>
      <c r="T89" s="336">
        <f t="shared" si="34"/>
        <v>0</v>
      </c>
      <c r="U89" s="265"/>
      <c r="V89" s="265"/>
      <c r="W89" s="265"/>
      <c r="X89" s="265"/>
      <c r="Y89" s="265"/>
      <c r="Z89" s="265"/>
      <c r="AA89" s="265"/>
      <c r="AB89" s="265"/>
      <c r="AC89" s="265"/>
      <c r="AD89" s="265"/>
      <c r="AE89" s="265"/>
      <c r="AF89" s="265"/>
      <c r="AG89" s="265"/>
      <c r="AH89" s="265"/>
      <c r="AI89" s="265"/>
    </row>
    <row r="90" spans="1:35" ht="19.5" customHeight="1" x14ac:dyDescent="0.25">
      <c r="A90" s="331" t="s">
        <v>48</v>
      </c>
      <c r="B90" s="501" t="s">
        <v>582</v>
      </c>
      <c r="C90" s="501"/>
      <c r="D90" s="501"/>
      <c r="E90" s="501"/>
      <c r="F90" s="501"/>
      <c r="G90" s="501"/>
      <c r="H90" s="501"/>
      <c r="I90" s="501"/>
      <c r="J90" s="23"/>
      <c r="K90" s="288">
        <f>K83</f>
        <v>173.36</v>
      </c>
      <c r="L90" s="288">
        <f t="shared" ref="L90:T90" si="35">L83</f>
        <v>0</v>
      </c>
      <c r="M90" s="288">
        <f t="shared" si="35"/>
        <v>0</v>
      </c>
      <c r="N90" s="288">
        <f t="shared" si="35"/>
        <v>0</v>
      </c>
      <c r="O90" s="288">
        <f t="shared" si="35"/>
        <v>0</v>
      </c>
      <c r="P90" s="288">
        <f t="shared" si="35"/>
        <v>0</v>
      </c>
      <c r="Q90" s="288">
        <f t="shared" si="35"/>
        <v>0</v>
      </c>
      <c r="R90" s="288">
        <f t="shared" si="35"/>
        <v>0</v>
      </c>
      <c r="S90" s="288">
        <f t="shared" si="35"/>
        <v>0</v>
      </c>
      <c r="T90" s="288">
        <f t="shared" si="35"/>
        <v>0</v>
      </c>
      <c r="U90" s="265"/>
      <c r="V90" s="265"/>
      <c r="W90" s="265"/>
      <c r="X90" s="265"/>
      <c r="Y90" s="265"/>
      <c r="Z90" s="265"/>
      <c r="AA90" s="265"/>
      <c r="AB90" s="265"/>
      <c r="AC90" s="265"/>
      <c r="AD90" s="265"/>
      <c r="AE90" s="265"/>
      <c r="AF90" s="265"/>
      <c r="AG90" s="265"/>
      <c r="AH90" s="265"/>
      <c r="AI90" s="265"/>
    </row>
    <row r="91" spans="1:35" ht="19.5" customHeight="1" x14ac:dyDescent="0.25">
      <c r="A91" s="331" t="s">
        <v>77</v>
      </c>
      <c r="B91" s="501" t="s">
        <v>583</v>
      </c>
      <c r="C91" s="501"/>
      <c r="D91" s="501"/>
      <c r="E91" s="501"/>
      <c r="F91" s="501"/>
      <c r="G91" s="501"/>
      <c r="H91" s="501"/>
      <c r="I91" s="501"/>
      <c r="J91" s="23"/>
      <c r="K91" s="288">
        <f>K87</f>
        <v>0</v>
      </c>
      <c r="L91" s="288">
        <f t="shared" ref="L91:T91" si="36">L87</f>
        <v>0</v>
      </c>
      <c r="M91" s="288">
        <f t="shared" si="36"/>
        <v>0</v>
      </c>
      <c r="N91" s="288">
        <f t="shared" si="36"/>
        <v>0</v>
      </c>
      <c r="O91" s="288">
        <f t="shared" si="36"/>
        <v>0</v>
      </c>
      <c r="P91" s="288">
        <f t="shared" si="36"/>
        <v>0</v>
      </c>
      <c r="Q91" s="288">
        <f t="shared" si="36"/>
        <v>0</v>
      </c>
      <c r="R91" s="288">
        <f t="shared" si="36"/>
        <v>0</v>
      </c>
      <c r="S91" s="288">
        <f t="shared" si="36"/>
        <v>0</v>
      </c>
      <c r="T91" s="288">
        <f t="shared" si="36"/>
        <v>0</v>
      </c>
      <c r="U91" s="265"/>
      <c r="V91" s="265"/>
      <c r="W91" s="265"/>
      <c r="X91" s="265"/>
      <c r="Y91" s="265"/>
      <c r="Z91" s="265"/>
      <c r="AA91" s="265"/>
      <c r="AB91" s="265"/>
      <c r="AC91" s="265"/>
      <c r="AD91" s="265"/>
      <c r="AE91" s="265"/>
      <c r="AF91" s="265"/>
      <c r="AG91" s="265"/>
      <c r="AH91" s="265"/>
      <c r="AI91" s="265"/>
    </row>
    <row r="92" spans="1:35" ht="19.5" customHeight="1" x14ac:dyDescent="0.25">
      <c r="A92" s="511" t="s">
        <v>75</v>
      </c>
      <c r="B92" s="511" t="s">
        <v>75</v>
      </c>
      <c r="C92" s="511"/>
      <c r="D92" s="511"/>
      <c r="E92" s="511"/>
      <c r="F92" s="511"/>
      <c r="G92" s="511"/>
      <c r="H92" s="511"/>
      <c r="I92" s="511"/>
      <c r="J92" s="314"/>
      <c r="K92" s="290">
        <f>K90+K91</f>
        <v>173.36</v>
      </c>
      <c r="L92" s="290">
        <f t="shared" ref="L92:T92" si="37">L90+L91</f>
        <v>0</v>
      </c>
      <c r="M92" s="290">
        <f t="shared" si="37"/>
        <v>0</v>
      </c>
      <c r="N92" s="290">
        <f t="shared" si="37"/>
        <v>0</v>
      </c>
      <c r="O92" s="290">
        <f t="shared" si="37"/>
        <v>0</v>
      </c>
      <c r="P92" s="290">
        <f t="shared" si="37"/>
        <v>0</v>
      </c>
      <c r="Q92" s="290">
        <f t="shared" si="37"/>
        <v>0</v>
      </c>
      <c r="R92" s="290">
        <f t="shared" si="37"/>
        <v>0</v>
      </c>
      <c r="S92" s="290">
        <f t="shared" si="37"/>
        <v>0</v>
      </c>
      <c r="T92" s="290">
        <f t="shared" si="37"/>
        <v>0</v>
      </c>
      <c r="U92" s="265"/>
      <c r="V92" s="265"/>
      <c r="W92" s="265"/>
      <c r="X92" s="265"/>
      <c r="Y92" s="265"/>
      <c r="Z92" s="265"/>
      <c r="AA92" s="265"/>
      <c r="AB92" s="265"/>
      <c r="AC92" s="265"/>
      <c r="AD92" s="265"/>
      <c r="AE92" s="265"/>
      <c r="AF92" s="265"/>
      <c r="AG92" s="265"/>
      <c r="AH92" s="265"/>
      <c r="AI92" s="265"/>
    </row>
    <row r="93" spans="1:35" ht="19.5" customHeight="1" x14ac:dyDescent="0.25">
      <c r="A93" s="543"/>
      <c r="B93" s="543"/>
      <c r="C93" s="543"/>
      <c r="D93" s="543"/>
      <c r="E93" s="543"/>
      <c r="F93" s="543"/>
      <c r="G93" s="543"/>
      <c r="H93" s="543"/>
      <c r="I93" s="543"/>
      <c r="J93" s="543"/>
      <c r="K93" s="543"/>
      <c r="L93" s="265"/>
      <c r="M93" s="264"/>
      <c r="N93" s="264"/>
      <c r="O93" s="264"/>
      <c r="P93" s="264"/>
      <c r="Q93" s="264"/>
      <c r="R93" s="264"/>
      <c r="S93" s="264"/>
      <c r="T93" s="264"/>
      <c r="U93" s="265"/>
      <c r="V93" s="265"/>
      <c r="W93" s="265"/>
      <c r="X93" s="265"/>
      <c r="Y93" s="265"/>
      <c r="Z93" s="265"/>
      <c r="AA93" s="265"/>
      <c r="AB93" s="265"/>
      <c r="AC93" s="265"/>
      <c r="AD93" s="265"/>
      <c r="AE93" s="265"/>
      <c r="AF93" s="265"/>
      <c r="AG93" s="265"/>
      <c r="AH93" s="265"/>
      <c r="AI93" s="265"/>
    </row>
    <row r="94" spans="1:35" ht="25.5" customHeight="1" x14ac:dyDescent="0.25">
      <c r="A94" s="513" t="s">
        <v>584</v>
      </c>
      <c r="B94" s="513"/>
      <c r="C94" s="513"/>
      <c r="D94" s="513"/>
      <c r="E94" s="513"/>
      <c r="F94" s="513"/>
      <c r="G94" s="513"/>
      <c r="H94" s="513"/>
      <c r="I94" s="513"/>
      <c r="J94" s="513"/>
      <c r="K94" s="336"/>
      <c r="L94" s="336">
        <f t="shared" ref="L94:T94" si="38">L89</f>
        <v>0</v>
      </c>
      <c r="M94" s="336">
        <f t="shared" si="38"/>
        <v>0</v>
      </c>
      <c r="N94" s="336">
        <f t="shared" si="38"/>
        <v>0</v>
      </c>
      <c r="O94" s="336">
        <f t="shared" si="38"/>
        <v>0</v>
      </c>
      <c r="P94" s="336">
        <f t="shared" si="38"/>
        <v>0</v>
      </c>
      <c r="Q94" s="336">
        <f t="shared" si="38"/>
        <v>0</v>
      </c>
      <c r="R94" s="336">
        <f t="shared" si="38"/>
        <v>0</v>
      </c>
      <c r="S94" s="336">
        <f t="shared" si="38"/>
        <v>0</v>
      </c>
      <c r="T94" s="336">
        <f t="shared" si="38"/>
        <v>0</v>
      </c>
      <c r="U94" s="265"/>
      <c r="V94" s="265"/>
      <c r="W94" s="265"/>
      <c r="X94" s="265"/>
      <c r="Y94" s="265"/>
      <c r="Z94" s="265"/>
      <c r="AA94" s="265"/>
      <c r="AB94" s="265"/>
      <c r="AC94" s="265"/>
      <c r="AD94" s="265"/>
      <c r="AE94" s="265"/>
      <c r="AF94" s="265"/>
      <c r="AG94" s="265"/>
      <c r="AH94" s="265"/>
      <c r="AI94" s="265"/>
    </row>
    <row r="95" spans="1:35" ht="19.5" customHeight="1" x14ac:dyDescent="0.25">
      <c r="A95" s="331" t="s">
        <v>3</v>
      </c>
      <c r="B95" s="510" t="s">
        <v>585</v>
      </c>
      <c r="C95" s="510"/>
      <c r="D95" s="510"/>
      <c r="E95" s="510"/>
      <c r="F95" s="510"/>
      <c r="G95" s="510"/>
      <c r="H95" s="510"/>
      <c r="I95" s="510"/>
      <c r="J95" s="510"/>
      <c r="K95" s="288">
        <f>'Unif. Serv'!E10</f>
        <v>27.26</v>
      </c>
      <c r="L95" s="288" t="str">
        <f>IF(L$94=0,"",$K95)</f>
        <v/>
      </c>
      <c r="M95" s="288" t="str">
        <f t="shared" ref="M95:T95" si="39">IF(M$94=0,"",$K95)</f>
        <v/>
      </c>
      <c r="N95" s="288" t="str">
        <f t="shared" si="39"/>
        <v/>
      </c>
      <c r="O95" s="288" t="str">
        <f t="shared" si="39"/>
        <v/>
      </c>
      <c r="P95" s="288" t="str">
        <f t="shared" si="39"/>
        <v/>
      </c>
      <c r="Q95" s="288" t="str">
        <f t="shared" si="39"/>
        <v/>
      </c>
      <c r="R95" s="288" t="str">
        <f t="shared" si="39"/>
        <v/>
      </c>
      <c r="S95" s="288" t="str">
        <f t="shared" si="39"/>
        <v/>
      </c>
      <c r="T95" s="288" t="str">
        <f t="shared" si="39"/>
        <v/>
      </c>
      <c r="U95" s="265"/>
      <c r="V95" s="265"/>
      <c r="W95" s="265"/>
      <c r="X95" s="265"/>
      <c r="Y95" s="265"/>
      <c r="Z95" s="265"/>
      <c r="AA95" s="265"/>
      <c r="AB95" s="265"/>
      <c r="AC95" s="265"/>
      <c r="AD95" s="265"/>
      <c r="AE95" s="265"/>
      <c r="AF95" s="265"/>
      <c r="AG95" s="265"/>
      <c r="AH95" s="265"/>
      <c r="AI95" s="265"/>
    </row>
    <row r="96" spans="1:35" ht="19.5" customHeight="1" x14ac:dyDescent="0.25">
      <c r="A96" s="331" t="s">
        <v>5</v>
      </c>
      <c r="B96" s="545" t="s">
        <v>605</v>
      </c>
      <c r="C96" s="546"/>
      <c r="D96" s="546"/>
      <c r="E96" s="546"/>
      <c r="F96" s="546"/>
      <c r="G96" s="546"/>
      <c r="H96" s="546"/>
      <c r="I96" s="547"/>
      <c r="J96" s="317">
        <v>0</v>
      </c>
      <c r="K96" s="288">
        <v>300</v>
      </c>
      <c r="L96" s="288" t="str">
        <f>IF(L$94=0,"",IF(OR([2]Preparação!$B$34=1,[2]Preparação!$B$34=4,[2]Preparação!$B$34=5),'[2]Equip + Mat. limpeza + Higiene'!$E$202,(L22+L58+L68+L91+L94)*$J$97))</f>
        <v/>
      </c>
      <c r="M96" s="288" t="str">
        <f>IF(M$94=0,"",IF(OR([2]Preparação!$B$34=1,[2]Preparação!$B$34=4,[2]Preparação!$B$34=5),'[2]Equip + Mat. limpeza + Higiene'!$E$202,(M22+M58+M68+M91+M94)*$J$97))</f>
        <v/>
      </c>
      <c r="N96" s="288" t="str">
        <f>IF(N$94=0,"",IF(OR([2]Preparação!$B$34=1,[2]Preparação!$B$34=4,[2]Preparação!$B$34=5),'[2]Equip + Mat. limpeza + Higiene'!$E$202,(N22+N58+N68+N91+N94)*$J$97))</f>
        <v/>
      </c>
      <c r="O96" s="288" t="str">
        <f>IF(O$94=0,"",IF(OR([2]Preparação!$B$34=1,[2]Preparação!$B$34=4,[2]Preparação!$B$34=5),'[2]Equip + Mat. limpeza + Higiene'!$E$202,(O22+O58+O68+O91+O94)*$J$97))</f>
        <v/>
      </c>
      <c r="P96" s="288" t="str">
        <f>IF(P$94=0,"",IF(OR([2]Preparação!$B$34=1,[2]Preparação!$B$34=4,[2]Preparação!$B$34=5),'[2]Equip + Mat. limpeza + Higiene'!$E$202,(P22+P58+P68+P91+P94)*$J$97))</f>
        <v/>
      </c>
      <c r="Q96" s="288" t="str">
        <f>IF(Q$94=0,"",IF(OR([2]Preparação!$B$34=1,[2]Preparação!$B$34=4,[2]Preparação!$B$34=5),'[2]Equip + Mat. limpeza + Higiene'!$E$202,(Q22+Q58+Q68+Q91+Q94)*$J$97))</f>
        <v/>
      </c>
      <c r="R96" s="288" t="str">
        <f>IF(R$94=0,"",IF(OR([2]Preparação!$B$34=1,[2]Preparação!$B$34=4,[2]Preparação!$B$34=5),'[2]Equip + Mat. limpeza + Higiene'!$E$202,(R22+R58+R68+R91+R94)*$J$97))</f>
        <v/>
      </c>
      <c r="S96" s="288" t="str">
        <f>IF(S$94=0,"",IF(OR([2]Preparação!$B$34=1,[2]Preparação!$B$34=4,[2]Preparação!$B$34=5),'[2]Equip + Mat. limpeza + Higiene'!$E$202,(S22+S58+S68+S91+S94)*$J$97))</f>
        <v/>
      </c>
      <c r="T96" s="288" t="str">
        <f>IF(T$94=0,"",IF(OR([2]Preparação!$B$34=1,[2]Preparação!$B$34=4,[2]Preparação!$B$34=5),'[2]Equip + Mat. limpeza + Higiene'!$E$202,(T22+T58+T68+T91+T94)*$J$97))</f>
        <v/>
      </c>
      <c r="U96" s="265"/>
      <c r="V96" s="265"/>
      <c r="W96" s="265"/>
      <c r="X96" s="265"/>
      <c r="Y96" s="265"/>
      <c r="Z96" s="265"/>
      <c r="AA96" s="265"/>
      <c r="AB96" s="265"/>
      <c r="AC96" s="265"/>
      <c r="AD96" s="265"/>
      <c r="AE96" s="265"/>
      <c r="AF96" s="265"/>
      <c r="AG96" s="265"/>
      <c r="AH96" s="265"/>
      <c r="AI96" s="265"/>
    </row>
    <row r="97" spans="1:35" ht="19.5" customHeight="1" x14ac:dyDescent="0.25">
      <c r="A97" s="331" t="s">
        <v>5</v>
      </c>
      <c r="B97" s="545" t="s">
        <v>606</v>
      </c>
      <c r="C97" s="546"/>
      <c r="D97" s="546"/>
      <c r="E97" s="546"/>
      <c r="F97" s="546"/>
      <c r="G97" s="546"/>
      <c r="H97" s="546"/>
      <c r="I97" s="547"/>
      <c r="J97" s="317">
        <v>0</v>
      </c>
      <c r="K97" s="288">
        <v>30</v>
      </c>
      <c r="L97" s="288" t="str">
        <f>IF(L$94=0,"",IF(OR([2]Preparação!$B$34=1,[2]Preparação!$B$34=4,[2]Preparação!$B$34=5),'[2]Equip + Mat. limpeza + Higiene'!$E$202,(L23+L59+L69+L92+L95)*$J$97))</f>
        <v/>
      </c>
      <c r="M97" s="288" t="str">
        <f>IF(M$94=0,"",IF(OR([2]Preparação!$B$34=1,[2]Preparação!$B$34=4,[2]Preparação!$B$34=5),'[2]Equip + Mat. limpeza + Higiene'!$E$202,(M23+M59+M69+M92+M95)*$J$97))</f>
        <v/>
      </c>
      <c r="N97" s="288" t="str">
        <f>IF(N$94=0,"",IF(OR([2]Preparação!$B$34=1,[2]Preparação!$B$34=4,[2]Preparação!$B$34=5),'[2]Equip + Mat. limpeza + Higiene'!$E$202,(N23+N59+N69+N92+N95)*$J$97))</f>
        <v/>
      </c>
      <c r="O97" s="288" t="str">
        <f>IF(O$94=0,"",IF(OR([2]Preparação!$B$34=1,[2]Preparação!$B$34=4,[2]Preparação!$B$34=5),'[2]Equip + Mat. limpeza + Higiene'!$E$202,(O23+O59+O69+O92+O95)*$J$97))</f>
        <v/>
      </c>
      <c r="P97" s="288" t="str">
        <f>IF(P$94=0,"",IF(OR([2]Preparação!$B$34=1,[2]Preparação!$B$34=4,[2]Preparação!$B$34=5),'[2]Equip + Mat. limpeza + Higiene'!$E$202,(P23+P59+P69+P92+P95)*$J$97))</f>
        <v/>
      </c>
      <c r="Q97" s="288" t="str">
        <f>IF(Q$94=0,"",IF(OR([2]Preparação!$B$34=1,[2]Preparação!$B$34=4,[2]Preparação!$B$34=5),'[2]Equip + Mat. limpeza + Higiene'!$E$202,(Q23+Q59+Q69+Q92+Q95)*$J$97))</f>
        <v/>
      </c>
      <c r="R97" s="288" t="str">
        <f>IF(R$94=0,"",IF(OR([2]Preparação!$B$34=1,[2]Preparação!$B$34=4,[2]Preparação!$B$34=5),'[2]Equip + Mat. limpeza + Higiene'!$E$202,(R23+R59+R69+R92+R95)*$J$97))</f>
        <v/>
      </c>
      <c r="S97" s="288" t="str">
        <f>IF(S$94=0,"",IF(OR([2]Preparação!$B$34=1,[2]Preparação!$B$34=4,[2]Preparação!$B$34=5),'[2]Equip + Mat. limpeza + Higiene'!$E$202,(S23+S59+S69+S92+S95)*$J$97))</f>
        <v/>
      </c>
      <c r="T97" s="288" t="str">
        <f>IF(T$94=0,"",IF(OR([2]Preparação!$B$34=1,[2]Preparação!$B$34=4,[2]Preparação!$B$34=5),'[2]Equip + Mat. limpeza + Higiene'!$E$202,(T23+T59+T69+T92+T95)*$J$97))</f>
        <v/>
      </c>
      <c r="U97" s="265"/>
      <c r="V97" s="265"/>
      <c r="W97" s="265"/>
      <c r="X97" s="265"/>
      <c r="Y97" s="265"/>
      <c r="Z97" s="265"/>
      <c r="AA97" s="265"/>
      <c r="AB97" s="265"/>
      <c r="AC97" s="265"/>
      <c r="AD97" s="265"/>
      <c r="AE97" s="265"/>
      <c r="AF97" s="265"/>
      <c r="AG97" s="265"/>
      <c r="AH97" s="265"/>
      <c r="AI97" s="265"/>
    </row>
    <row r="98" spans="1:35" ht="19.5" customHeight="1" x14ac:dyDescent="0.25">
      <c r="A98" s="498" t="s">
        <v>6</v>
      </c>
      <c r="B98" s="548" t="s">
        <v>586</v>
      </c>
      <c r="C98" s="548"/>
      <c r="D98" s="549" t="s">
        <v>587</v>
      </c>
      <c r="E98" s="549"/>
      <c r="F98" s="549"/>
      <c r="G98" s="549"/>
      <c r="H98" s="549"/>
      <c r="I98" s="549"/>
      <c r="J98" s="549"/>
      <c r="K98" s="288"/>
      <c r="L98" s="288"/>
      <c r="M98" s="304"/>
      <c r="N98" s="304"/>
      <c r="O98" s="304"/>
      <c r="P98" s="304"/>
      <c r="Q98" s="304"/>
      <c r="R98" s="304"/>
      <c r="S98" s="304"/>
      <c r="T98" s="304"/>
      <c r="U98" s="265"/>
      <c r="V98" s="265"/>
      <c r="W98" s="265"/>
      <c r="X98" s="265"/>
      <c r="Y98" s="265"/>
      <c r="Z98" s="265"/>
      <c r="AA98" s="265"/>
      <c r="AB98" s="265"/>
      <c r="AC98" s="265"/>
      <c r="AD98" s="265"/>
      <c r="AE98" s="265"/>
      <c r="AF98" s="265"/>
      <c r="AG98" s="265"/>
      <c r="AH98" s="265"/>
      <c r="AI98" s="265"/>
    </row>
    <row r="99" spans="1:35" ht="19.5" customHeight="1" x14ac:dyDescent="0.25">
      <c r="A99" s="498"/>
      <c r="B99" s="548"/>
      <c r="C99" s="548"/>
      <c r="D99" s="549" t="s">
        <v>587</v>
      </c>
      <c r="E99" s="549"/>
      <c r="F99" s="549"/>
      <c r="G99" s="549"/>
      <c r="H99" s="549"/>
      <c r="I99" s="549"/>
      <c r="J99" s="549"/>
      <c r="K99" s="288"/>
      <c r="L99" s="288"/>
      <c r="M99" s="304"/>
      <c r="N99" s="304"/>
      <c r="O99" s="304"/>
      <c r="P99" s="304"/>
      <c r="Q99" s="304"/>
      <c r="R99" s="304"/>
      <c r="S99" s="304"/>
      <c r="T99" s="304"/>
      <c r="U99" s="265"/>
      <c r="V99" s="265"/>
      <c r="W99" s="265"/>
      <c r="X99" s="265"/>
      <c r="Y99" s="265"/>
      <c r="Z99" s="265"/>
      <c r="AA99" s="265"/>
      <c r="AB99" s="265"/>
      <c r="AC99" s="265"/>
      <c r="AD99" s="265"/>
      <c r="AE99" s="265"/>
      <c r="AF99" s="265"/>
      <c r="AG99" s="265"/>
      <c r="AH99" s="265"/>
      <c r="AI99" s="265"/>
    </row>
    <row r="100" spans="1:35" ht="19.5" customHeight="1" x14ac:dyDescent="0.25">
      <c r="A100" s="511" t="s">
        <v>45</v>
      </c>
      <c r="B100" s="511"/>
      <c r="C100" s="511"/>
      <c r="D100" s="511"/>
      <c r="E100" s="511"/>
      <c r="F100" s="511"/>
      <c r="G100" s="511"/>
      <c r="H100" s="511"/>
      <c r="I100" s="511"/>
      <c r="J100" s="511"/>
      <c r="K100" s="290">
        <f t="shared" ref="K100:T100" si="40">SUM(K95:K99)</f>
        <v>357.26</v>
      </c>
      <c r="L100" s="290">
        <f t="shared" si="40"/>
        <v>0</v>
      </c>
      <c r="M100" s="290">
        <f t="shared" si="40"/>
        <v>0</v>
      </c>
      <c r="N100" s="290">
        <f t="shared" si="40"/>
        <v>0</v>
      </c>
      <c r="O100" s="290">
        <f t="shared" si="40"/>
        <v>0</v>
      </c>
      <c r="P100" s="290">
        <f t="shared" si="40"/>
        <v>0</v>
      </c>
      <c r="Q100" s="290">
        <f t="shared" si="40"/>
        <v>0</v>
      </c>
      <c r="R100" s="290">
        <f t="shared" si="40"/>
        <v>0</v>
      </c>
      <c r="S100" s="290">
        <f t="shared" si="40"/>
        <v>0</v>
      </c>
      <c r="T100" s="290">
        <f t="shared" si="40"/>
        <v>0</v>
      </c>
      <c r="U100" s="265"/>
      <c r="V100" s="306"/>
      <c r="W100" s="306"/>
      <c r="X100" s="306"/>
      <c r="Y100" s="306"/>
      <c r="Z100" s="306"/>
      <c r="AA100" s="306"/>
      <c r="AB100" s="306"/>
      <c r="AC100" s="306"/>
      <c r="AD100" s="306"/>
      <c r="AE100" s="306"/>
      <c r="AF100" s="306"/>
      <c r="AG100" s="306"/>
      <c r="AH100" s="306"/>
      <c r="AI100" s="306"/>
    </row>
    <row r="101" spans="1:35" ht="19.5" customHeight="1" x14ac:dyDescent="0.25">
      <c r="A101" s="551"/>
      <c r="B101" s="551"/>
      <c r="C101" s="551"/>
      <c r="D101" s="551"/>
      <c r="E101" s="551"/>
      <c r="F101" s="551"/>
      <c r="G101" s="551"/>
      <c r="H101" s="551"/>
      <c r="I101" s="551"/>
      <c r="J101" s="551"/>
      <c r="K101" s="551"/>
      <c r="L101" s="269"/>
      <c r="M101" s="264"/>
      <c r="N101" s="264"/>
      <c r="O101" s="264"/>
      <c r="P101" s="264"/>
      <c r="Q101" s="264"/>
      <c r="R101" s="264"/>
      <c r="S101" s="264"/>
      <c r="T101" s="264"/>
      <c r="U101" s="265"/>
      <c r="V101" s="265"/>
      <c r="W101" s="265"/>
      <c r="X101" s="265"/>
      <c r="Y101" s="265"/>
      <c r="Z101" s="265"/>
      <c r="AA101" s="265"/>
      <c r="AB101" s="265"/>
      <c r="AC101" s="265"/>
      <c r="AD101" s="265"/>
      <c r="AE101" s="265"/>
      <c r="AF101" s="265"/>
      <c r="AG101" s="265"/>
      <c r="AH101" s="265"/>
      <c r="AI101" s="265"/>
    </row>
    <row r="102" spans="1:35" ht="19.5" customHeight="1" x14ac:dyDescent="0.25">
      <c r="A102" s="498" t="s">
        <v>131</v>
      </c>
      <c r="B102" s="498"/>
      <c r="C102" s="498"/>
      <c r="D102" s="498"/>
      <c r="E102" s="498"/>
      <c r="F102" s="498"/>
      <c r="G102" s="498"/>
      <c r="H102" s="498"/>
      <c r="I102" s="498"/>
      <c r="J102" s="498"/>
      <c r="K102" s="498"/>
      <c r="L102" s="498"/>
      <c r="M102" s="498"/>
      <c r="N102" s="498"/>
      <c r="O102" s="498"/>
      <c r="P102" s="498"/>
      <c r="Q102" s="498"/>
      <c r="R102" s="498"/>
      <c r="S102" s="498"/>
      <c r="T102" s="498"/>
      <c r="U102" s="265"/>
      <c r="V102" s="265"/>
      <c r="W102" s="265"/>
      <c r="X102" s="265"/>
      <c r="Y102" s="265"/>
      <c r="Z102" s="265"/>
      <c r="AA102" s="265"/>
      <c r="AB102" s="265"/>
      <c r="AC102" s="265"/>
      <c r="AD102" s="265"/>
      <c r="AE102" s="265"/>
      <c r="AF102" s="265"/>
      <c r="AG102" s="265"/>
      <c r="AH102" s="265"/>
      <c r="AI102" s="265"/>
    </row>
    <row r="103" spans="1:35" ht="25.5" customHeight="1" x14ac:dyDescent="0.25">
      <c r="A103" s="513" t="s">
        <v>588</v>
      </c>
      <c r="B103" s="513"/>
      <c r="C103" s="513"/>
      <c r="D103" s="513"/>
      <c r="E103" s="513"/>
      <c r="F103" s="513"/>
      <c r="G103" s="513"/>
      <c r="H103" s="513"/>
      <c r="I103" s="513"/>
      <c r="J103" s="513"/>
      <c r="K103" s="336"/>
      <c r="L103" s="336">
        <f t="shared" ref="L103:T103" si="41">L94</f>
        <v>0</v>
      </c>
      <c r="M103" s="336">
        <f t="shared" si="41"/>
        <v>0</v>
      </c>
      <c r="N103" s="336">
        <f t="shared" si="41"/>
        <v>0</v>
      </c>
      <c r="O103" s="336">
        <f t="shared" si="41"/>
        <v>0</v>
      </c>
      <c r="P103" s="336">
        <f t="shared" si="41"/>
        <v>0</v>
      </c>
      <c r="Q103" s="336">
        <f t="shared" si="41"/>
        <v>0</v>
      </c>
      <c r="R103" s="336">
        <f t="shared" si="41"/>
        <v>0</v>
      </c>
      <c r="S103" s="336">
        <f t="shared" si="41"/>
        <v>0</v>
      </c>
      <c r="T103" s="336">
        <f t="shared" si="41"/>
        <v>0</v>
      </c>
      <c r="U103" s="265"/>
      <c r="V103" s="265"/>
      <c r="W103" s="265"/>
      <c r="X103" s="265"/>
      <c r="Y103" s="265"/>
      <c r="Z103" s="265"/>
      <c r="AA103" s="265"/>
      <c r="AB103" s="265"/>
      <c r="AC103" s="265"/>
      <c r="AD103" s="265"/>
      <c r="AE103" s="265"/>
      <c r="AF103" s="265"/>
      <c r="AG103" s="265"/>
      <c r="AH103" s="265"/>
      <c r="AI103" s="265"/>
    </row>
    <row r="104" spans="1:35" ht="19.5" customHeight="1" x14ac:dyDescent="0.25">
      <c r="A104" s="331" t="s">
        <v>3</v>
      </c>
      <c r="B104" s="503" t="s">
        <v>530</v>
      </c>
      <c r="C104" s="503"/>
      <c r="D104" s="503"/>
      <c r="E104" s="503"/>
      <c r="F104" s="503"/>
      <c r="G104" s="503"/>
      <c r="H104" s="503"/>
      <c r="I104" s="503"/>
      <c r="J104" s="503"/>
      <c r="K104" s="288">
        <f t="shared" ref="K104:T104" si="42">K23</f>
        <v>1088.29</v>
      </c>
      <c r="L104" s="288">
        <f t="shared" si="42"/>
        <v>0</v>
      </c>
      <c r="M104" s="288">
        <f t="shared" si="42"/>
        <v>0</v>
      </c>
      <c r="N104" s="288">
        <f t="shared" si="42"/>
        <v>0</v>
      </c>
      <c r="O104" s="288">
        <f t="shared" si="42"/>
        <v>0</v>
      </c>
      <c r="P104" s="288">
        <f t="shared" si="42"/>
        <v>0</v>
      </c>
      <c r="Q104" s="288">
        <f t="shared" si="42"/>
        <v>0</v>
      </c>
      <c r="R104" s="288">
        <f t="shared" si="42"/>
        <v>0</v>
      </c>
      <c r="S104" s="288">
        <f t="shared" si="42"/>
        <v>0</v>
      </c>
      <c r="T104" s="288">
        <f t="shared" si="42"/>
        <v>0</v>
      </c>
      <c r="U104" s="265"/>
      <c r="V104" s="265"/>
      <c r="W104" s="265"/>
      <c r="X104" s="265"/>
      <c r="Y104" s="265"/>
      <c r="Z104" s="265"/>
      <c r="AA104" s="265"/>
      <c r="AB104" s="265"/>
      <c r="AC104" s="265"/>
      <c r="AD104" s="265"/>
      <c r="AE104" s="265"/>
      <c r="AF104" s="265"/>
      <c r="AG104" s="265"/>
      <c r="AH104" s="265"/>
      <c r="AI104" s="265"/>
    </row>
    <row r="105" spans="1:35" ht="19.5" customHeight="1" x14ac:dyDescent="0.25">
      <c r="A105" s="331" t="s">
        <v>5</v>
      </c>
      <c r="B105" s="503" t="s">
        <v>589</v>
      </c>
      <c r="C105" s="503"/>
      <c r="D105" s="503"/>
      <c r="E105" s="503"/>
      <c r="F105" s="503"/>
      <c r="G105" s="503"/>
      <c r="H105" s="503"/>
      <c r="I105" s="503"/>
      <c r="J105" s="503"/>
      <c r="K105" s="288">
        <f t="shared" ref="K105:T105" si="43">K59</f>
        <v>936.3</v>
      </c>
      <c r="L105" s="288">
        <f t="shared" si="43"/>
        <v>0</v>
      </c>
      <c r="M105" s="288">
        <f t="shared" si="43"/>
        <v>0</v>
      </c>
      <c r="N105" s="288">
        <f t="shared" si="43"/>
        <v>0</v>
      </c>
      <c r="O105" s="288">
        <f t="shared" si="43"/>
        <v>0</v>
      </c>
      <c r="P105" s="288">
        <f t="shared" si="43"/>
        <v>0</v>
      </c>
      <c r="Q105" s="288">
        <f t="shared" si="43"/>
        <v>0</v>
      </c>
      <c r="R105" s="288">
        <f t="shared" si="43"/>
        <v>0</v>
      </c>
      <c r="S105" s="288">
        <f t="shared" si="43"/>
        <v>0</v>
      </c>
      <c r="T105" s="288">
        <f t="shared" si="43"/>
        <v>0</v>
      </c>
      <c r="U105" s="265"/>
      <c r="V105" s="265"/>
      <c r="W105" s="265"/>
      <c r="X105" s="265"/>
      <c r="Y105" s="265"/>
      <c r="Z105" s="265"/>
      <c r="AA105" s="265"/>
      <c r="AB105" s="265"/>
      <c r="AC105" s="265"/>
      <c r="AD105" s="265"/>
      <c r="AE105" s="265"/>
      <c r="AF105" s="265"/>
      <c r="AG105" s="265"/>
      <c r="AH105" s="265"/>
      <c r="AI105" s="265"/>
    </row>
    <row r="106" spans="1:35" ht="19.5" customHeight="1" x14ac:dyDescent="0.25">
      <c r="A106" s="331" t="s">
        <v>6</v>
      </c>
      <c r="B106" s="503" t="s">
        <v>590</v>
      </c>
      <c r="C106" s="503"/>
      <c r="D106" s="503"/>
      <c r="E106" s="503"/>
      <c r="F106" s="503"/>
      <c r="G106" s="503"/>
      <c r="H106" s="503"/>
      <c r="I106" s="503"/>
      <c r="J106" s="503"/>
      <c r="K106" s="288">
        <f t="shared" ref="K106:T106" si="44">K69</f>
        <v>90.64</v>
      </c>
      <c r="L106" s="288">
        <f t="shared" si="44"/>
        <v>0</v>
      </c>
      <c r="M106" s="288">
        <f t="shared" si="44"/>
        <v>0</v>
      </c>
      <c r="N106" s="288">
        <f t="shared" si="44"/>
        <v>0</v>
      </c>
      <c r="O106" s="288">
        <f t="shared" si="44"/>
        <v>0</v>
      </c>
      <c r="P106" s="288">
        <f t="shared" si="44"/>
        <v>0</v>
      </c>
      <c r="Q106" s="288">
        <f t="shared" si="44"/>
        <v>0</v>
      </c>
      <c r="R106" s="288">
        <f t="shared" si="44"/>
        <v>0</v>
      </c>
      <c r="S106" s="288">
        <f t="shared" si="44"/>
        <v>0</v>
      </c>
      <c r="T106" s="288">
        <f t="shared" si="44"/>
        <v>0</v>
      </c>
      <c r="U106" s="265"/>
      <c r="V106" s="265"/>
      <c r="W106" s="265"/>
      <c r="X106" s="265"/>
      <c r="Y106" s="265"/>
      <c r="Z106" s="265"/>
      <c r="AA106" s="265"/>
      <c r="AB106" s="265"/>
      <c r="AC106" s="265"/>
      <c r="AD106" s="265"/>
      <c r="AE106" s="265"/>
      <c r="AF106" s="265"/>
      <c r="AG106" s="265"/>
      <c r="AH106" s="265"/>
      <c r="AI106" s="265"/>
    </row>
    <row r="107" spans="1:35" ht="19.5" customHeight="1" x14ac:dyDescent="0.25">
      <c r="A107" s="331" t="s">
        <v>8</v>
      </c>
      <c r="B107" s="503" t="s">
        <v>591</v>
      </c>
      <c r="C107" s="503"/>
      <c r="D107" s="503"/>
      <c r="E107" s="503"/>
      <c r="F107" s="503"/>
      <c r="G107" s="503"/>
      <c r="H107" s="503"/>
      <c r="I107" s="503"/>
      <c r="J107" s="503"/>
      <c r="K107" s="288">
        <f>K92</f>
        <v>173.36</v>
      </c>
      <c r="L107" s="288">
        <f t="shared" ref="L107:T107" si="45">L92</f>
        <v>0</v>
      </c>
      <c r="M107" s="288">
        <f t="shared" si="45"/>
        <v>0</v>
      </c>
      <c r="N107" s="288">
        <f t="shared" si="45"/>
        <v>0</v>
      </c>
      <c r="O107" s="288">
        <f t="shared" si="45"/>
        <v>0</v>
      </c>
      <c r="P107" s="288">
        <f t="shared" si="45"/>
        <v>0</v>
      </c>
      <c r="Q107" s="288">
        <f t="shared" si="45"/>
        <v>0</v>
      </c>
      <c r="R107" s="288">
        <f t="shared" si="45"/>
        <v>0</v>
      </c>
      <c r="S107" s="288">
        <f t="shared" si="45"/>
        <v>0</v>
      </c>
      <c r="T107" s="288">
        <f t="shared" si="45"/>
        <v>0</v>
      </c>
      <c r="U107" s="265"/>
      <c r="V107" s="265"/>
      <c r="W107" s="265"/>
      <c r="X107" s="265"/>
      <c r="Y107" s="265"/>
      <c r="Z107" s="265"/>
      <c r="AA107" s="265"/>
      <c r="AB107" s="265"/>
      <c r="AC107" s="265"/>
      <c r="AD107" s="265"/>
      <c r="AE107" s="265"/>
      <c r="AF107" s="265"/>
      <c r="AG107" s="265"/>
      <c r="AH107" s="265"/>
      <c r="AI107" s="265"/>
    </row>
    <row r="108" spans="1:35" ht="19.5" customHeight="1" x14ac:dyDescent="0.25">
      <c r="A108" s="331" t="s">
        <v>10</v>
      </c>
      <c r="B108" s="503" t="s">
        <v>592</v>
      </c>
      <c r="C108" s="503"/>
      <c r="D108" s="503"/>
      <c r="E108" s="503"/>
      <c r="F108" s="503"/>
      <c r="G108" s="503"/>
      <c r="H108" s="503"/>
      <c r="I108" s="503"/>
      <c r="J108" s="503"/>
      <c r="K108" s="288">
        <f>K100</f>
        <v>357.26</v>
      </c>
      <c r="L108" s="288">
        <f t="shared" ref="L108:T108" si="46">L100</f>
        <v>0</v>
      </c>
      <c r="M108" s="288">
        <f t="shared" si="46"/>
        <v>0</v>
      </c>
      <c r="N108" s="288">
        <f t="shared" si="46"/>
        <v>0</v>
      </c>
      <c r="O108" s="288">
        <f t="shared" si="46"/>
        <v>0</v>
      </c>
      <c r="P108" s="288">
        <f t="shared" si="46"/>
        <v>0</v>
      </c>
      <c r="Q108" s="288">
        <f t="shared" si="46"/>
        <v>0</v>
      </c>
      <c r="R108" s="288">
        <f t="shared" si="46"/>
        <v>0</v>
      </c>
      <c r="S108" s="288">
        <f t="shared" si="46"/>
        <v>0</v>
      </c>
      <c r="T108" s="288">
        <f t="shared" si="46"/>
        <v>0</v>
      </c>
      <c r="U108" s="265"/>
      <c r="V108" s="265"/>
      <c r="W108" s="265"/>
      <c r="X108" s="265"/>
      <c r="Y108" s="265"/>
      <c r="Z108" s="265"/>
      <c r="AA108" s="265"/>
      <c r="AB108" s="265"/>
      <c r="AC108" s="265"/>
      <c r="AD108" s="265"/>
      <c r="AE108" s="265"/>
      <c r="AF108" s="265"/>
      <c r="AG108" s="265"/>
      <c r="AH108" s="265"/>
      <c r="AI108" s="265"/>
    </row>
    <row r="109" spans="1:35" ht="19.5" customHeight="1" x14ac:dyDescent="0.25">
      <c r="A109" s="550" t="s">
        <v>593</v>
      </c>
      <c r="B109" s="550"/>
      <c r="C109" s="550"/>
      <c r="D109" s="550"/>
      <c r="E109" s="550"/>
      <c r="F109" s="550"/>
      <c r="G109" s="550"/>
      <c r="H109" s="550"/>
      <c r="I109" s="550"/>
      <c r="J109" s="550"/>
      <c r="K109" s="290">
        <f>SUM(K104:K108)</f>
        <v>2645.85</v>
      </c>
      <c r="L109" s="290">
        <f t="shared" ref="L109:T109" si="47">SUM(L104:L108)</f>
        <v>0</v>
      </c>
      <c r="M109" s="290">
        <f t="shared" si="47"/>
        <v>0</v>
      </c>
      <c r="N109" s="290">
        <f t="shared" si="47"/>
        <v>0</v>
      </c>
      <c r="O109" s="290">
        <f t="shared" si="47"/>
        <v>0</v>
      </c>
      <c r="P109" s="290">
        <f t="shared" si="47"/>
        <v>0</v>
      </c>
      <c r="Q109" s="290">
        <f t="shared" si="47"/>
        <v>0</v>
      </c>
      <c r="R109" s="290">
        <f t="shared" si="47"/>
        <v>0</v>
      </c>
      <c r="S109" s="290">
        <f t="shared" si="47"/>
        <v>0</v>
      </c>
      <c r="T109" s="290">
        <f t="shared" si="47"/>
        <v>0</v>
      </c>
      <c r="U109" s="265"/>
      <c r="V109" s="264"/>
      <c r="W109" s="264"/>
      <c r="X109" s="264"/>
      <c r="Y109" s="264"/>
      <c r="Z109" s="264"/>
      <c r="AA109" s="264"/>
      <c r="AB109" s="264"/>
      <c r="AC109" s="264"/>
      <c r="AD109" s="264"/>
      <c r="AE109" s="264"/>
      <c r="AF109" s="264"/>
      <c r="AG109" s="264"/>
      <c r="AH109" s="264"/>
      <c r="AI109" s="264"/>
    </row>
    <row r="110" spans="1:35" ht="19.5" customHeight="1" x14ac:dyDescent="0.25">
      <c r="A110" s="512"/>
      <c r="B110" s="512"/>
      <c r="C110" s="512"/>
      <c r="D110" s="512"/>
      <c r="E110" s="512"/>
      <c r="F110" s="512"/>
      <c r="G110" s="512"/>
      <c r="H110" s="512"/>
      <c r="I110" s="512"/>
      <c r="J110" s="512"/>
      <c r="K110" s="512"/>
      <c r="L110" s="265"/>
      <c r="M110" s="264"/>
      <c r="N110" s="264"/>
      <c r="O110" s="264"/>
      <c r="P110" s="264"/>
      <c r="Q110" s="264"/>
      <c r="R110" s="264"/>
      <c r="S110" s="264"/>
      <c r="T110" s="264"/>
      <c r="U110" s="265"/>
      <c r="V110" s="264"/>
      <c r="W110" s="264"/>
      <c r="X110" s="264"/>
      <c r="Y110" s="264"/>
      <c r="Z110" s="264"/>
      <c r="AA110" s="264"/>
      <c r="AB110" s="264"/>
      <c r="AC110" s="264"/>
      <c r="AD110" s="264"/>
      <c r="AE110" s="264"/>
      <c r="AF110" s="264"/>
      <c r="AG110" s="264"/>
      <c r="AH110" s="264"/>
      <c r="AI110" s="264"/>
    </row>
    <row r="111" spans="1:35" ht="25.5" customHeight="1" x14ac:dyDescent="0.25">
      <c r="A111" s="513" t="s">
        <v>594</v>
      </c>
      <c r="B111" s="513"/>
      <c r="C111" s="513"/>
      <c r="D111" s="513"/>
      <c r="E111" s="513"/>
      <c r="F111" s="513"/>
      <c r="G111" s="513"/>
      <c r="H111" s="513"/>
      <c r="I111" s="513"/>
      <c r="J111" s="513"/>
      <c r="K111" s="336"/>
      <c r="L111" s="336">
        <f t="shared" ref="L111:T111" si="48">L103</f>
        <v>0</v>
      </c>
      <c r="M111" s="336">
        <f t="shared" si="48"/>
        <v>0</v>
      </c>
      <c r="N111" s="336">
        <f t="shared" si="48"/>
        <v>0</v>
      </c>
      <c r="O111" s="336">
        <f t="shared" si="48"/>
        <v>0</v>
      </c>
      <c r="P111" s="336">
        <f t="shared" si="48"/>
        <v>0</v>
      </c>
      <c r="Q111" s="336">
        <f t="shared" si="48"/>
        <v>0</v>
      </c>
      <c r="R111" s="336">
        <f t="shared" si="48"/>
        <v>0</v>
      </c>
      <c r="S111" s="336">
        <f t="shared" si="48"/>
        <v>0</v>
      </c>
      <c r="T111" s="336">
        <f t="shared" si="48"/>
        <v>0</v>
      </c>
      <c r="U111" s="265"/>
      <c r="V111" s="264"/>
      <c r="W111" s="264"/>
      <c r="X111" s="264"/>
      <c r="Y111" s="264"/>
      <c r="Z111" s="264"/>
      <c r="AA111" s="264"/>
      <c r="AB111" s="264"/>
      <c r="AC111" s="264"/>
      <c r="AD111" s="264"/>
      <c r="AE111" s="264"/>
      <c r="AF111" s="264"/>
      <c r="AG111" s="264"/>
      <c r="AH111" s="264"/>
      <c r="AI111" s="264"/>
    </row>
    <row r="112" spans="1:35" ht="19.5" customHeight="1" x14ac:dyDescent="0.25">
      <c r="A112" s="331" t="s">
        <v>3</v>
      </c>
      <c r="B112" s="500" t="s">
        <v>595</v>
      </c>
      <c r="C112" s="500"/>
      <c r="D112" s="500"/>
      <c r="E112" s="500"/>
      <c r="F112" s="500"/>
      <c r="G112" s="500"/>
      <c r="H112" s="500"/>
      <c r="I112" s="500"/>
      <c r="J112" s="313">
        <v>8.5000000000000006E-2</v>
      </c>
      <c r="K112" s="288">
        <f>K$109*$J112</f>
        <v>224.9</v>
      </c>
      <c r="L112" s="288">
        <f t="shared" ref="L112:T112" si="49">L$109*$J112</f>
        <v>0</v>
      </c>
      <c r="M112" s="288">
        <f t="shared" si="49"/>
        <v>0</v>
      </c>
      <c r="N112" s="288">
        <f t="shared" si="49"/>
        <v>0</v>
      </c>
      <c r="O112" s="288">
        <f t="shared" si="49"/>
        <v>0</v>
      </c>
      <c r="P112" s="288">
        <f t="shared" si="49"/>
        <v>0</v>
      </c>
      <c r="Q112" s="288">
        <f t="shared" si="49"/>
        <v>0</v>
      </c>
      <c r="R112" s="288">
        <f t="shared" si="49"/>
        <v>0</v>
      </c>
      <c r="S112" s="288">
        <f t="shared" si="49"/>
        <v>0</v>
      </c>
      <c r="T112" s="288">
        <f t="shared" si="49"/>
        <v>0</v>
      </c>
      <c r="U112" s="265"/>
      <c r="V112" s="264"/>
      <c r="W112" s="264"/>
      <c r="X112" s="264"/>
      <c r="Y112" s="264"/>
      <c r="Z112" s="264"/>
      <c r="AA112" s="264"/>
      <c r="AB112" s="264"/>
      <c r="AC112" s="264"/>
      <c r="AD112" s="264"/>
      <c r="AE112" s="264"/>
      <c r="AF112" s="264"/>
      <c r="AG112" s="264"/>
      <c r="AH112" s="264"/>
      <c r="AI112" s="264"/>
    </row>
    <row r="113" spans="1:35" ht="19.5" customHeight="1" x14ac:dyDescent="0.25">
      <c r="A113" s="331" t="s">
        <v>5</v>
      </c>
      <c r="B113" s="500" t="s">
        <v>130</v>
      </c>
      <c r="C113" s="500"/>
      <c r="D113" s="500"/>
      <c r="E113" s="500"/>
      <c r="F113" s="500"/>
      <c r="G113" s="500"/>
      <c r="H113" s="500"/>
      <c r="I113" s="500"/>
      <c r="J113" s="313">
        <v>8.5000000000000006E-2</v>
      </c>
      <c r="K113" s="288">
        <f t="shared" ref="K113:T113" si="50">(K109+K112)*$J113</f>
        <v>244.01</v>
      </c>
      <c r="L113" s="288">
        <f t="shared" si="50"/>
        <v>0</v>
      </c>
      <c r="M113" s="288">
        <f t="shared" si="50"/>
        <v>0</v>
      </c>
      <c r="N113" s="288">
        <f t="shared" si="50"/>
        <v>0</v>
      </c>
      <c r="O113" s="288">
        <f t="shared" si="50"/>
        <v>0</v>
      </c>
      <c r="P113" s="288">
        <f t="shared" si="50"/>
        <v>0</v>
      </c>
      <c r="Q113" s="288">
        <f t="shared" si="50"/>
        <v>0</v>
      </c>
      <c r="R113" s="288">
        <f t="shared" si="50"/>
        <v>0</v>
      </c>
      <c r="S113" s="288">
        <f t="shared" si="50"/>
        <v>0</v>
      </c>
      <c r="T113" s="288">
        <f t="shared" si="50"/>
        <v>0</v>
      </c>
      <c r="U113" s="265"/>
      <c r="V113" s="264"/>
      <c r="W113" s="264"/>
      <c r="X113" s="264"/>
      <c r="Y113" s="264"/>
      <c r="Z113" s="264"/>
      <c r="AA113" s="264"/>
      <c r="AB113" s="264"/>
      <c r="AC113" s="264"/>
      <c r="AD113" s="264"/>
      <c r="AE113" s="264"/>
      <c r="AF113" s="264"/>
      <c r="AG113" s="264"/>
      <c r="AH113" s="264"/>
      <c r="AI113" s="264"/>
    </row>
    <row r="114" spans="1:35" ht="18" customHeight="1" x14ac:dyDescent="0.25">
      <c r="A114" s="552" t="s">
        <v>6</v>
      </c>
      <c r="B114" s="554" t="s">
        <v>614</v>
      </c>
      <c r="C114" s="555"/>
      <c r="D114" s="555"/>
      <c r="E114" s="555"/>
      <c r="F114" s="555"/>
      <c r="G114" s="555"/>
      <c r="H114" s="555"/>
      <c r="I114" s="555"/>
      <c r="J114" s="318" t="s">
        <v>596</v>
      </c>
      <c r="K114" s="324">
        <v>7.2800000000000004E-2</v>
      </c>
      <c r="L114" s="319" t="str">
        <f>'[2]Dados do Licitante'!H40</f>
        <v/>
      </c>
      <c r="M114" s="320" t="str">
        <f>'[2]Dados do Licitante'!H41</f>
        <v/>
      </c>
      <c r="N114" s="320" t="str">
        <f>'[2]Dados do Licitante'!H42</f>
        <v/>
      </c>
      <c r="O114" s="320" t="str">
        <f>'[2]Dados do Licitante'!H43</f>
        <v/>
      </c>
      <c r="P114" s="320" t="str">
        <f>'[2]Dados do Licitante'!H44</f>
        <v/>
      </c>
      <c r="Q114" s="320" t="str">
        <f>'[2]Dados do Licitante'!H45</f>
        <v/>
      </c>
      <c r="R114" s="320" t="str">
        <f>'[2]Dados do Licitante'!H46</f>
        <v/>
      </c>
      <c r="S114" s="320" t="str">
        <f>'[2]Dados do Licitante'!H47</f>
        <v/>
      </c>
      <c r="T114" s="320" t="str">
        <f>'[2]Dados do Licitante'!H48</f>
        <v/>
      </c>
      <c r="U114" s="265"/>
      <c r="V114" s="321"/>
      <c r="W114" s="321"/>
      <c r="X114" s="321"/>
      <c r="Y114" s="321"/>
      <c r="Z114" s="321"/>
      <c r="AA114" s="321"/>
      <c r="AB114" s="321"/>
      <c r="AC114" s="321"/>
      <c r="AD114" s="321"/>
      <c r="AE114" s="321"/>
      <c r="AF114" s="321"/>
      <c r="AG114" s="321"/>
      <c r="AH114" s="321"/>
      <c r="AI114" s="321"/>
    </row>
    <row r="115" spans="1:35" ht="18" customHeight="1" x14ac:dyDescent="0.25">
      <c r="A115" s="553"/>
      <c r="B115" s="556"/>
      <c r="C115" s="557"/>
      <c r="D115" s="557"/>
      <c r="E115" s="557"/>
      <c r="F115" s="557"/>
      <c r="G115" s="557"/>
      <c r="H115" s="557"/>
      <c r="I115" s="557"/>
      <c r="J115" s="322" t="s">
        <v>597</v>
      </c>
      <c r="K115" s="288">
        <f t="shared" ref="K115:T115" si="51">IF(K114&lt;&gt;"",K118*K114,0)</f>
        <v>244.56</v>
      </c>
      <c r="L115" s="288">
        <f t="shared" si="51"/>
        <v>0</v>
      </c>
      <c r="M115" s="288">
        <f t="shared" si="51"/>
        <v>0</v>
      </c>
      <c r="N115" s="288">
        <f t="shared" si="51"/>
        <v>0</v>
      </c>
      <c r="O115" s="288">
        <f t="shared" si="51"/>
        <v>0</v>
      </c>
      <c r="P115" s="288">
        <f t="shared" si="51"/>
        <v>0</v>
      </c>
      <c r="Q115" s="288">
        <f t="shared" si="51"/>
        <v>0</v>
      </c>
      <c r="R115" s="288">
        <f t="shared" si="51"/>
        <v>0</v>
      </c>
      <c r="S115" s="288">
        <f t="shared" si="51"/>
        <v>0</v>
      </c>
      <c r="T115" s="288">
        <f t="shared" si="51"/>
        <v>0</v>
      </c>
      <c r="U115" s="265"/>
      <c r="V115" s="264"/>
      <c r="W115" s="264"/>
      <c r="X115" s="264"/>
      <c r="Y115" s="264"/>
      <c r="Z115" s="264"/>
      <c r="AA115" s="264"/>
      <c r="AB115" s="264"/>
      <c r="AC115" s="264"/>
      <c r="AD115" s="264"/>
      <c r="AE115" s="264"/>
      <c r="AF115" s="264"/>
      <c r="AG115" s="264"/>
      <c r="AH115" s="264"/>
      <c r="AI115" s="264"/>
    </row>
    <row r="116" spans="1:35" ht="19.5" customHeight="1" x14ac:dyDescent="0.25">
      <c r="A116" s="550" t="s">
        <v>598</v>
      </c>
      <c r="B116" s="550"/>
      <c r="C116" s="550"/>
      <c r="D116" s="550"/>
      <c r="E116" s="550"/>
      <c r="F116" s="550"/>
      <c r="G116" s="550"/>
      <c r="H116" s="550"/>
      <c r="I116" s="550"/>
      <c r="J116" s="550"/>
      <c r="K116" s="290">
        <f t="shared" ref="K116:T116" si="52">K112+K113+K115</f>
        <v>713.47</v>
      </c>
      <c r="L116" s="290">
        <f t="shared" si="52"/>
        <v>0</v>
      </c>
      <c r="M116" s="290">
        <f t="shared" si="52"/>
        <v>0</v>
      </c>
      <c r="N116" s="290">
        <f t="shared" si="52"/>
        <v>0</v>
      </c>
      <c r="O116" s="290">
        <f t="shared" si="52"/>
        <v>0</v>
      </c>
      <c r="P116" s="290">
        <f t="shared" si="52"/>
        <v>0</v>
      </c>
      <c r="Q116" s="290">
        <f t="shared" si="52"/>
        <v>0</v>
      </c>
      <c r="R116" s="290">
        <f t="shared" si="52"/>
        <v>0</v>
      </c>
      <c r="S116" s="290">
        <f t="shared" si="52"/>
        <v>0</v>
      </c>
      <c r="T116" s="290">
        <f t="shared" si="52"/>
        <v>0</v>
      </c>
      <c r="U116" s="265"/>
      <c r="V116" s="306"/>
      <c r="W116" s="306"/>
      <c r="X116" s="306"/>
      <c r="Y116" s="306"/>
      <c r="Z116" s="306"/>
      <c r="AA116" s="306"/>
      <c r="AB116" s="306"/>
      <c r="AC116" s="306"/>
      <c r="AD116" s="306"/>
      <c r="AE116" s="306"/>
      <c r="AF116" s="306"/>
      <c r="AG116" s="306"/>
      <c r="AH116" s="306"/>
      <c r="AI116" s="306"/>
    </row>
    <row r="117" spans="1:35" ht="19.5" customHeight="1" x14ac:dyDescent="0.25">
      <c r="A117" s="275"/>
      <c r="B117" s="275"/>
      <c r="C117" s="275"/>
      <c r="D117" s="275"/>
      <c r="E117" s="275"/>
      <c r="F117" s="275"/>
      <c r="G117" s="275"/>
      <c r="H117" s="275"/>
      <c r="I117" s="275"/>
      <c r="J117" s="275"/>
      <c r="K117" s="275"/>
      <c r="L117" s="275"/>
      <c r="M117" s="264"/>
      <c r="N117" s="264"/>
      <c r="O117" s="264"/>
      <c r="P117" s="264"/>
      <c r="Q117" s="264"/>
      <c r="R117" s="264"/>
      <c r="S117" s="264"/>
      <c r="T117" s="264"/>
      <c r="U117" s="265"/>
      <c r="V117" s="264"/>
      <c r="W117" s="264"/>
      <c r="X117" s="264"/>
      <c r="Y117" s="264"/>
      <c r="Z117" s="264"/>
      <c r="AA117" s="264"/>
      <c r="AB117" s="264"/>
      <c r="AC117" s="264"/>
      <c r="AD117" s="264"/>
      <c r="AE117" s="264"/>
      <c r="AF117" s="264"/>
      <c r="AG117" s="264"/>
      <c r="AH117" s="264"/>
      <c r="AI117" s="264"/>
    </row>
    <row r="118" spans="1:35" ht="30" customHeight="1" x14ac:dyDescent="0.25">
      <c r="A118" s="558" t="s">
        <v>599</v>
      </c>
      <c r="B118" s="558"/>
      <c r="C118" s="558"/>
      <c r="D118" s="558"/>
      <c r="E118" s="558"/>
      <c r="F118" s="558"/>
      <c r="G118" s="558"/>
      <c r="H118" s="558"/>
      <c r="I118" s="558"/>
      <c r="J118" s="558"/>
      <c r="K118" s="323">
        <f>IF(K114&lt;&gt;"",(K109+K112+K113)/(1-K114),0)</f>
        <v>3359.32</v>
      </c>
      <c r="L118" s="323">
        <f t="shared" ref="L118:T118" si="53">IF(L111=0,0,IF(L114&lt;&gt;"",(L109+L112+L113)/(1-L114),0))</f>
        <v>0</v>
      </c>
      <c r="M118" s="323">
        <f t="shared" si="53"/>
        <v>0</v>
      </c>
      <c r="N118" s="323">
        <f t="shared" si="53"/>
        <v>0</v>
      </c>
      <c r="O118" s="323">
        <f t="shared" si="53"/>
        <v>0</v>
      </c>
      <c r="P118" s="323">
        <f t="shared" si="53"/>
        <v>0</v>
      </c>
      <c r="Q118" s="323">
        <f t="shared" si="53"/>
        <v>0</v>
      </c>
      <c r="R118" s="323">
        <f t="shared" si="53"/>
        <v>0</v>
      </c>
      <c r="S118" s="323">
        <f t="shared" si="53"/>
        <v>0</v>
      </c>
      <c r="T118" s="323">
        <f t="shared" si="53"/>
        <v>0</v>
      </c>
      <c r="U118" s="265"/>
      <c r="V118" s="264"/>
      <c r="W118" s="264"/>
      <c r="X118" s="264"/>
      <c r="Y118" s="264"/>
      <c r="Z118" s="264"/>
      <c r="AA118" s="264"/>
      <c r="AB118" s="264"/>
      <c r="AC118" s="264"/>
      <c r="AD118" s="264"/>
      <c r="AE118" s="264"/>
      <c r="AF118" s="264"/>
      <c r="AG118" s="264"/>
      <c r="AH118" s="264"/>
      <c r="AI118" s="264"/>
    </row>
    <row r="120" spans="1:35" x14ac:dyDescent="0.25">
      <c r="B120" s="381" t="s">
        <v>496</v>
      </c>
      <c r="C120" s="381"/>
      <c r="D120" s="381"/>
      <c r="E120" s="381"/>
      <c r="F120" s="381"/>
      <c r="G120" s="381"/>
      <c r="H120" s="381"/>
    </row>
    <row r="121" spans="1:35" x14ac:dyDescent="0.25">
      <c r="B121" s="246"/>
      <c r="C121" s="246"/>
      <c r="D121" s="247"/>
      <c r="E121" s="247"/>
      <c r="F121" s="247"/>
      <c r="G121" s="248"/>
      <c r="H121" s="247"/>
    </row>
    <row r="122" spans="1:35" x14ac:dyDescent="0.25">
      <c r="B122" s="246"/>
      <c r="C122" s="246"/>
      <c r="D122" s="247"/>
      <c r="E122" s="247"/>
      <c r="F122" s="247"/>
      <c r="G122" s="248"/>
      <c r="H122" s="247"/>
    </row>
    <row r="123" spans="1:35" x14ac:dyDescent="0.25">
      <c r="A123" s="380" t="s">
        <v>467</v>
      </c>
      <c r="B123" s="380"/>
      <c r="C123" s="380"/>
      <c r="D123" s="380"/>
      <c r="E123" s="380"/>
      <c r="F123" s="380"/>
      <c r="G123" s="380"/>
      <c r="H123" s="380"/>
    </row>
    <row r="124" spans="1:35" x14ac:dyDescent="0.25">
      <c r="A124" s="380" t="s">
        <v>497</v>
      </c>
      <c r="B124" s="380"/>
      <c r="C124" s="380"/>
      <c r="D124" s="380"/>
      <c r="E124" s="380"/>
      <c r="F124" s="380"/>
      <c r="G124" s="380"/>
      <c r="H124" s="380"/>
    </row>
  </sheetData>
  <mergeCells count="152">
    <mergeCell ref="B120:H120"/>
    <mergeCell ref="A123:H123"/>
    <mergeCell ref="A124:H124"/>
    <mergeCell ref="B112:I112"/>
    <mergeCell ref="B113:I113"/>
    <mergeCell ref="A114:A115"/>
    <mergeCell ref="B114:I115"/>
    <mergeCell ref="A116:J116"/>
    <mergeCell ref="A118:J118"/>
    <mergeCell ref="B106:J106"/>
    <mergeCell ref="B107:J107"/>
    <mergeCell ref="B108:J108"/>
    <mergeCell ref="A109:J109"/>
    <mergeCell ref="A110:K110"/>
    <mergeCell ref="A111:J111"/>
    <mergeCell ref="A100:J100"/>
    <mergeCell ref="A101:K101"/>
    <mergeCell ref="A102:T102"/>
    <mergeCell ref="A103:J103"/>
    <mergeCell ref="B104:J104"/>
    <mergeCell ref="B105:J105"/>
    <mergeCell ref="A93:K93"/>
    <mergeCell ref="A94:J94"/>
    <mergeCell ref="B95:J95"/>
    <mergeCell ref="B96:I96"/>
    <mergeCell ref="B97:I97"/>
    <mergeCell ref="A98:A99"/>
    <mergeCell ref="B98:C99"/>
    <mergeCell ref="D98:J98"/>
    <mergeCell ref="D99:J99"/>
    <mergeCell ref="A87:I87"/>
    <mergeCell ref="A88:K88"/>
    <mergeCell ref="A89:J89"/>
    <mergeCell ref="B90:I90"/>
    <mergeCell ref="B91:I91"/>
    <mergeCell ref="A92:I92"/>
    <mergeCell ref="B81:I81"/>
    <mergeCell ref="B82:I82"/>
    <mergeCell ref="A83:I83"/>
    <mergeCell ref="A84:K84"/>
    <mergeCell ref="A85:J85"/>
    <mergeCell ref="B86:I86"/>
    <mergeCell ref="A75:J75"/>
    <mergeCell ref="B76:I76"/>
    <mergeCell ref="B77:I77"/>
    <mergeCell ref="B78:I78"/>
    <mergeCell ref="B79:I79"/>
    <mergeCell ref="B80:I80"/>
    <mergeCell ref="R71:R72"/>
    <mergeCell ref="S71:S72"/>
    <mergeCell ref="T71:T72"/>
    <mergeCell ref="A72:J72"/>
    <mergeCell ref="A73:J73"/>
    <mergeCell ref="B74:I74"/>
    <mergeCell ref="L71:L72"/>
    <mergeCell ref="M71:M72"/>
    <mergeCell ref="N71:N72"/>
    <mergeCell ref="O71:O72"/>
    <mergeCell ref="P71:P72"/>
    <mergeCell ref="Q71:Q72"/>
    <mergeCell ref="B66:I66"/>
    <mergeCell ref="A67:J67"/>
    <mergeCell ref="B68:I68"/>
    <mergeCell ref="A69:I69"/>
    <mergeCell ref="A70:K70"/>
    <mergeCell ref="A71:J71"/>
    <mergeCell ref="K71:K72"/>
    <mergeCell ref="A62:J62"/>
    <mergeCell ref="B63:C63"/>
    <mergeCell ref="F63:G63"/>
    <mergeCell ref="H63:I63"/>
    <mergeCell ref="B64:I64"/>
    <mergeCell ref="B65:I65"/>
    <mergeCell ref="B56:I56"/>
    <mergeCell ref="B57:I57"/>
    <mergeCell ref="B58:J58"/>
    <mergeCell ref="B59:J59"/>
    <mergeCell ref="A60:K60"/>
    <mergeCell ref="A61:J61"/>
    <mergeCell ref="B50:J50"/>
    <mergeCell ref="B51:J51"/>
    <mergeCell ref="B52:J52"/>
    <mergeCell ref="B53:J53"/>
    <mergeCell ref="A54:K54"/>
    <mergeCell ref="A55:J55"/>
    <mergeCell ref="B44:J44"/>
    <mergeCell ref="B45:J45"/>
    <mergeCell ref="B46:J46"/>
    <mergeCell ref="B47:J47"/>
    <mergeCell ref="B48:J48"/>
    <mergeCell ref="B49:J49"/>
    <mergeCell ref="B39:I39"/>
    <mergeCell ref="B40:E40"/>
    <mergeCell ref="H40:I40"/>
    <mergeCell ref="C41:I41"/>
    <mergeCell ref="A42:T42"/>
    <mergeCell ref="A43:J43"/>
    <mergeCell ref="A33:I33"/>
    <mergeCell ref="B34:I34"/>
    <mergeCell ref="B35:I35"/>
    <mergeCell ref="B36:I36"/>
    <mergeCell ref="B37:I37"/>
    <mergeCell ref="B38:I38"/>
    <mergeCell ref="B27:I27"/>
    <mergeCell ref="B28:I28"/>
    <mergeCell ref="B29:I29"/>
    <mergeCell ref="A30:K30"/>
    <mergeCell ref="A31:J31"/>
    <mergeCell ref="A32:J32"/>
    <mergeCell ref="P25:P26"/>
    <mergeCell ref="Q25:Q26"/>
    <mergeCell ref="R25:R26"/>
    <mergeCell ref="S25:S26"/>
    <mergeCell ref="T25:T26"/>
    <mergeCell ref="A26:J26"/>
    <mergeCell ref="A25:J25"/>
    <mergeCell ref="K25:K26"/>
    <mergeCell ref="L25:L26"/>
    <mergeCell ref="M25:M26"/>
    <mergeCell ref="N25:N26"/>
    <mergeCell ref="O25:O26"/>
    <mergeCell ref="B19:J19"/>
    <mergeCell ref="B20:J20"/>
    <mergeCell ref="B21:J21"/>
    <mergeCell ref="B22:J22"/>
    <mergeCell ref="A23:J23"/>
    <mergeCell ref="A24:T24"/>
    <mergeCell ref="B14:J14"/>
    <mergeCell ref="A16:J16"/>
    <mergeCell ref="B17:J17"/>
    <mergeCell ref="B18:D18"/>
    <mergeCell ref="E18:G18"/>
    <mergeCell ref="H18:I18"/>
    <mergeCell ref="B9:J9"/>
    <mergeCell ref="A10:K10"/>
    <mergeCell ref="B11:J11"/>
    <mergeCell ref="B12:J12"/>
    <mergeCell ref="B13:J13"/>
    <mergeCell ref="A5:K5"/>
    <mergeCell ref="A6:C6"/>
    <mergeCell ref="D6:K6"/>
    <mergeCell ref="B7:D7"/>
    <mergeCell ref="E7:K7"/>
    <mergeCell ref="A1:K1"/>
    <mergeCell ref="A2:C2"/>
    <mergeCell ref="D2:K2"/>
    <mergeCell ref="A3:C3"/>
    <mergeCell ref="D3:K3"/>
    <mergeCell ref="A4:C4"/>
    <mergeCell ref="D4:F4"/>
    <mergeCell ref="H4:K4"/>
    <mergeCell ref="B8:J8"/>
  </mergeCells>
  <conditionalFormatting sqref="J97">
    <cfRule type="expression" dxfId="9" priority="2">
      <formula>$J$97=""</formula>
    </cfRule>
  </conditionalFormatting>
  <conditionalFormatting sqref="J96">
    <cfRule type="expression" dxfId="8" priority="1">
      <formula>$J$97=""</formula>
    </cfRule>
  </conditionalFormatting>
  <pageMargins left="0.511811024" right="0.511811024" top="0.78740157499999996" bottom="0.78740157499999996" header="0.31496062000000002" footer="0.31496062000000002"/>
  <pageSetup paperSize="9" scale="3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mc:AlternateContent xmlns:mc="http://schemas.openxmlformats.org/markup-compatibility/2006">
          <mc:Choice Requires="x14">
            <control shapeId="65545" r:id="rId6" name="Option Button 9">
              <controlPr defaultSize="0" autoFill="0" autoLine="0" autoPict="0">
                <anchor moveWithCells="1">
                  <from>
                    <xdr:col>9</xdr:col>
                    <xdr:colOff>0</xdr:colOff>
                    <xdr:row>17</xdr:row>
                    <xdr:rowOff>0</xdr:rowOff>
                  </from>
                  <to>
                    <xdr:col>9</xdr:col>
                    <xdr:colOff>466725</xdr:colOff>
                    <xdr:row>18</xdr:row>
                    <xdr:rowOff>57150</xdr:rowOff>
                  </to>
                </anchor>
              </controlPr>
            </control>
          </mc:Choice>
        </mc:AlternateContent>
        <mc:AlternateContent xmlns:mc="http://schemas.openxmlformats.org/markup-compatibility/2006">
          <mc:Choice Requires="x14">
            <control shapeId="65546" r:id="rId7" name="Option Button 10">
              <controlPr defaultSize="0" autoFill="0" autoLine="0" autoPict="0">
                <anchor moveWithCells="1">
                  <from>
                    <xdr:col>9</xdr:col>
                    <xdr:colOff>638175</xdr:colOff>
                    <xdr:row>17</xdr:row>
                    <xdr:rowOff>0</xdr:rowOff>
                  </from>
                  <to>
                    <xdr:col>10</xdr:col>
                    <xdr:colOff>438150</xdr:colOff>
                    <xdr:row>18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24</vt:i4>
      </vt:variant>
      <vt:variant>
        <vt:lpstr>Intervalos nomeados</vt:lpstr>
      </vt:variant>
      <vt:variant>
        <vt:i4>6</vt:i4>
      </vt:variant>
    </vt:vector>
  </HeadingPairs>
  <TitlesOfParts>
    <vt:vector size="30" baseType="lpstr">
      <vt:lpstr>Proposta</vt:lpstr>
      <vt:lpstr>Consol GP 01</vt:lpstr>
      <vt:lpstr>GRUPO 01 Insal</vt:lpstr>
      <vt:lpstr>CAMPO VERDE</vt:lpstr>
      <vt:lpstr>CAMPO VERDE LAB</vt:lpstr>
      <vt:lpstr>CAMPO VERDE EXT</vt:lpstr>
      <vt:lpstr>CAMPO VERDE ESQ</vt:lpstr>
      <vt:lpstr>Consol GP 02</vt:lpstr>
      <vt:lpstr>JACIARA</vt:lpstr>
      <vt:lpstr>GRUPO 02 Insal</vt:lpstr>
      <vt:lpstr>GRUPO 03 Insal-</vt:lpstr>
      <vt:lpstr>JACIARA EXT</vt:lpstr>
      <vt:lpstr>Consol GP 03</vt:lpstr>
      <vt:lpstr>SAO VICENTE</vt:lpstr>
      <vt:lpstr>SAO VICENTE EXT</vt:lpstr>
      <vt:lpstr>SAO VICENTE ESQ</vt:lpstr>
      <vt:lpstr>Planilha1</vt:lpstr>
      <vt:lpstr>Unif. Serv</vt:lpstr>
      <vt:lpstr>Material</vt:lpstr>
      <vt:lpstr>Equipamentos</vt:lpstr>
      <vt:lpstr>Insumos</vt:lpstr>
      <vt:lpstr>Pessoal</vt:lpstr>
      <vt:lpstr>Comparativo</vt:lpstr>
      <vt:lpstr>Conta Vinculada</vt:lpstr>
      <vt:lpstr>Comparativo!Area_de_impressao</vt:lpstr>
      <vt:lpstr>'GRUPO 01 Insal'!Area_de_impressao</vt:lpstr>
      <vt:lpstr>'GRUPO 02 Insal'!Area_de_impressao</vt:lpstr>
      <vt:lpstr>'GRUPO 03 Insal-'!Area_de_impressao</vt:lpstr>
      <vt:lpstr>Insumos!Area_de_impressao</vt:lpstr>
      <vt:lpstr>'Unif. Serv'!Area_de_impressao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2019-08-22T19:45:21Z</dcterms:modified>
</cp:coreProperties>
</file>