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3"/>
  <workbookPr showObjects="none" codeName="EstaPastaDeTrabalho"/>
  <mc:AlternateContent xmlns:mc="http://schemas.openxmlformats.org/markup-compatibility/2006">
    <mc:Choice Requires="x15">
      <x15ac:absPath xmlns:x15ac="http://schemas.microsoft.com/office/spreadsheetml/2010/11/ac" url="G:\CPL\Comissão Permanente de Licitações\2022\Pregões\Vigilancia\"/>
    </mc:Choice>
  </mc:AlternateContent>
  <xr:revisionPtr revIDLastSave="0" documentId="13_ncr:1_{E4080302-1E0F-4085-B5F2-F926F62ACEED}" xr6:coauthVersionLast="36" xr6:coauthVersionMax="36" xr10:uidLastSave="{00000000-0000-0000-0000-000000000000}"/>
  <bookViews>
    <workbookView xWindow="0" yWindow="0" windowWidth="20490" windowHeight="6855" tabRatio="975" xr2:uid="{00000000-000D-0000-FFFF-FFFF00000000}"/>
  </bookViews>
  <sheets>
    <sheet name="Proposta" sheetId="13" r:id="rId1"/>
    <sheet name="INSUMOS" sheetId="15" r:id="rId2"/>
    <sheet name="Item 1 - SR 44 horas" sheetId="16" r:id="rId3"/>
    <sheet name="Item 2 - SR 12x36 diur." sheetId="17" r:id="rId4"/>
    <sheet name="Item 3 - SR 12x36 not." sheetId="18" r:id="rId5"/>
    <sheet name="Item 4 - NEPOM 12x36 diur." sheetId="19" r:id="rId6"/>
    <sheet name="Item 5 - NEPOM 12x36 not." sheetId="20" r:id="rId7"/>
    <sheet name="Item 6 - IJI 12x36 not." sheetId="22" r:id="rId8"/>
    <sheet name="Item 7 - JVE 12x36 not." sheetId="23" r:id="rId9"/>
    <sheet name="Item 8 - CCM 12x36 not." sheetId="24" r:id="rId10"/>
    <sheet name="Item 9 - LGE 12x36 not." sheetId="25" r:id="rId11"/>
    <sheet name="Item 10 - XAP 12x36 not." sheetId="26" r:id="rId12"/>
    <sheet name="Item 11 - DCQ 12x36 not." sheetId="27" r:id="rId1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27" l="1"/>
  <c r="C12" i="26"/>
  <c r="C12" i="25"/>
  <c r="C12" i="24"/>
  <c r="C12" i="23"/>
  <c r="C12" i="22"/>
  <c r="C12" i="20"/>
  <c r="C12" i="19"/>
  <c r="C12" i="18"/>
  <c r="C12" i="17"/>
  <c r="C12" i="16"/>
  <c r="D141" i="27" l="1"/>
  <c r="D141" i="26"/>
  <c r="D141" i="25"/>
  <c r="D141" i="24"/>
  <c r="D141" i="23"/>
  <c r="D141" i="19"/>
  <c r="D141" i="20"/>
  <c r="D141" i="22"/>
  <c r="D140" i="22"/>
  <c r="D173" i="27" l="1"/>
  <c r="C158" i="27"/>
  <c r="C159" i="27" s="1"/>
  <c r="D143" i="27"/>
  <c r="D167" i="27" s="1"/>
  <c r="D140" i="27"/>
  <c r="D139" i="27"/>
  <c r="C129" i="27"/>
  <c r="C119" i="27"/>
  <c r="C118" i="27"/>
  <c r="C111" i="27"/>
  <c r="C108" i="27"/>
  <c r="C107" i="27"/>
  <c r="C103" i="27"/>
  <c r="C96" i="27"/>
  <c r="C92" i="27"/>
  <c r="C91" i="27"/>
  <c r="C89" i="27"/>
  <c r="C85" i="27"/>
  <c r="C83" i="27" s="1"/>
  <c r="C84" i="27"/>
  <c r="C81" i="27"/>
  <c r="C78" i="27"/>
  <c r="C77" i="27"/>
  <c r="C76" i="27"/>
  <c r="D63" i="27"/>
  <c r="D60" i="27"/>
  <c r="D57" i="27"/>
  <c r="D58" i="27" s="1"/>
  <c r="C53" i="27"/>
  <c r="C68" i="27" s="1"/>
  <c r="C40" i="27"/>
  <c r="C42" i="27" s="1"/>
  <c r="C67" i="27" s="1"/>
  <c r="C39" i="27"/>
  <c r="C32" i="27"/>
  <c r="D32" i="27" s="1"/>
  <c r="C31" i="27"/>
  <c r="D31" i="27" s="1"/>
  <c r="D30" i="27"/>
  <c r="D27" i="27"/>
  <c r="D28" i="27" s="1"/>
  <c r="C11" i="27"/>
  <c r="D173" i="26"/>
  <c r="C158" i="26"/>
  <c r="C159" i="26" s="1"/>
  <c r="D140" i="26"/>
  <c r="D139" i="26"/>
  <c r="D143" i="26" s="1"/>
  <c r="D167" i="26" s="1"/>
  <c r="C129" i="26"/>
  <c r="C119" i="26"/>
  <c r="C118" i="26"/>
  <c r="C111" i="26"/>
  <c r="C108" i="26"/>
  <c r="C107" i="26"/>
  <c r="C103" i="26"/>
  <c r="C96" i="26"/>
  <c r="C92" i="26"/>
  <c r="C91" i="26"/>
  <c r="C89" i="26"/>
  <c r="C85" i="26"/>
  <c r="C83" i="26" s="1"/>
  <c r="C84" i="26"/>
  <c r="C81" i="26"/>
  <c r="C78" i="26"/>
  <c r="C77" i="26"/>
  <c r="C76" i="26"/>
  <c r="D63" i="26"/>
  <c r="D60" i="26"/>
  <c r="D57" i="26"/>
  <c r="D58" i="26" s="1"/>
  <c r="C53" i="26"/>
  <c r="C93" i="26" s="1"/>
  <c r="C40" i="26"/>
  <c r="C39" i="26"/>
  <c r="C32" i="26"/>
  <c r="D32" i="26" s="1"/>
  <c r="C31" i="26"/>
  <c r="D31" i="26" s="1"/>
  <c r="D30" i="26"/>
  <c r="D27" i="26"/>
  <c r="D59" i="26" s="1"/>
  <c r="C11" i="26"/>
  <c r="D173" i="25"/>
  <c r="C158" i="25"/>
  <c r="C159" i="25" s="1"/>
  <c r="D140" i="25"/>
  <c r="D139" i="25"/>
  <c r="D143" i="25" s="1"/>
  <c r="D167" i="25" s="1"/>
  <c r="C129" i="25"/>
  <c r="C119" i="25"/>
  <c r="C118" i="25"/>
  <c r="C111" i="25"/>
  <c r="C108" i="25"/>
  <c r="C107" i="25"/>
  <c r="C103" i="25"/>
  <c r="C96" i="25"/>
  <c r="C92" i="25"/>
  <c r="C91" i="25"/>
  <c r="C89" i="25"/>
  <c r="C85" i="25"/>
  <c r="C83" i="25" s="1"/>
  <c r="C84" i="25"/>
  <c r="C81" i="25"/>
  <c r="C78" i="25"/>
  <c r="C77" i="25"/>
  <c r="C76" i="25"/>
  <c r="D63" i="25"/>
  <c r="D60" i="25"/>
  <c r="D57" i="25"/>
  <c r="D58" i="25" s="1"/>
  <c r="C53" i="25"/>
  <c r="C93" i="25" s="1"/>
  <c r="C40" i="25"/>
  <c r="C39" i="25"/>
  <c r="C32" i="25"/>
  <c r="D32" i="25" s="1"/>
  <c r="C31" i="25"/>
  <c r="D31" i="25" s="1"/>
  <c r="D30" i="25"/>
  <c r="D27" i="25"/>
  <c r="D29" i="25" s="1"/>
  <c r="C11" i="25"/>
  <c r="D173" i="24"/>
  <c r="C158" i="24"/>
  <c r="C159" i="24" s="1"/>
  <c r="D140" i="24"/>
  <c r="D139" i="24"/>
  <c r="D143" i="24" s="1"/>
  <c r="D167" i="24" s="1"/>
  <c r="C129" i="24"/>
  <c r="C119" i="24"/>
  <c r="C118" i="24"/>
  <c r="C111" i="24"/>
  <c r="C108" i="24"/>
  <c r="C107" i="24"/>
  <c r="C103" i="24"/>
  <c r="C96" i="24"/>
  <c r="C92" i="24"/>
  <c r="C91" i="24"/>
  <c r="C89" i="24"/>
  <c r="C85" i="24"/>
  <c r="C83" i="24" s="1"/>
  <c r="C84" i="24"/>
  <c r="C81" i="24"/>
  <c r="C78" i="24"/>
  <c r="C77" i="24"/>
  <c r="C76" i="24"/>
  <c r="D63" i="24"/>
  <c r="D60" i="24"/>
  <c r="D57" i="24"/>
  <c r="D58" i="24" s="1"/>
  <c r="C53" i="24"/>
  <c r="C68" i="24" s="1"/>
  <c r="C40" i="24"/>
  <c r="C39" i="24"/>
  <c r="C32" i="24"/>
  <c r="D32" i="24" s="1"/>
  <c r="C31" i="24"/>
  <c r="D31" i="24" s="1"/>
  <c r="D30" i="24"/>
  <c r="D27" i="24"/>
  <c r="D56" i="24" s="1"/>
  <c r="C11" i="24"/>
  <c r="D173" i="23"/>
  <c r="C158" i="23"/>
  <c r="C159" i="23" s="1"/>
  <c r="D140" i="23"/>
  <c r="D139" i="23"/>
  <c r="D143" i="23" s="1"/>
  <c r="D167" i="23" s="1"/>
  <c r="C129" i="23"/>
  <c r="C119" i="23"/>
  <c r="C118" i="23"/>
  <c r="C111" i="23"/>
  <c r="C108" i="23"/>
  <c r="C107" i="23"/>
  <c r="C103" i="23"/>
  <c r="C96" i="23"/>
  <c r="C92" i="23"/>
  <c r="C91" i="23"/>
  <c r="C89" i="23"/>
  <c r="C85" i="23"/>
  <c r="C83" i="23" s="1"/>
  <c r="C84" i="23"/>
  <c r="C81" i="23"/>
  <c r="C78" i="23"/>
  <c r="C77" i="23"/>
  <c r="C76" i="23"/>
  <c r="D63" i="23"/>
  <c r="D60" i="23"/>
  <c r="D57" i="23"/>
  <c r="D58" i="23" s="1"/>
  <c r="C53" i="23"/>
  <c r="C68" i="23" s="1"/>
  <c r="C40" i="23"/>
  <c r="C39" i="23"/>
  <c r="C32" i="23"/>
  <c r="D32" i="23" s="1"/>
  <c r="C31" i="23"/>
  <c r="D31" i="23" s="1"/>
  <c r="D30" i="23"/>
  <c r="D27" i="23"/>
  <c r="D56" i="23" s="1"/>
  <c r="C11" i="23"/>
  <c r="D173" i="22"/>
  <c r="C158" i="22"/>
  <c r="C159" i="22" s="1"/>
  <c r="D139" i="22"/>
  <c r="D143" i="22" s="1"/>
  <c r="D167" i="22" s="1"/>
  <c r="C129" i="22"/>
  <c r="C119" i="22"/>
  <c r="C118" i="22"/>
  <c r="C111" i="22"/>
  <c r="C108" i="22"/>
  <c r="C107" i="22"/>
  <c r="C103" i="22"/>
  <c r="C96" i="22"/>
  <c r="C92" i="22"/>
  <c r="C91" i="22"/>
  <c r="C89" i="22"/>
  <c r="C85" i="22"/>
  <c r="C83" i="22" s="1"/>
  <c r="C84" i="22"/>
  <c r="C81" i="22"/>
  <c r="C78" i="22"/>
  <c r="C77" i="22"/>
  <c r="C76" i="22"/>
  <c r="D63" i="22"/>
  <c r="D60" i="22"/>
  <c r="D57" i="22"/>
  <c r="D58" i="22" s="1"/>
  <c r="C53" i="22"/>
  <c r="C68" i="22" s="1"/>
  <c r="C40" i="22"/>
  <c r="C42" i="22" s="1"/>
  <c r="C67" i="22" s="1"/>
  <c r="C39" i="22"/>
  <c r="C32" i="22"/>
  <c r="D32" i="22" s="1"/>
  <c r="C31" i="22"/>
  <c r="D31" i="22" s="1"/>
  <c r="D30" i="22"/>
  <c r="D27" i="22"/>
  <c r="D59" i="22" s="1"/>
  <c r="C11" i="22"/>
  <c r="D173" i="20"/>
  <c r="C158" i="20"/>
  <c r="C159" i="20" s="1"/>
  <c r="D143" i="20"/>
  <c r="D167" i="20" s="1"/>
  <c r="D140" i="20"/>
  <c r="D139" i="20"/>
  <c r="C129" i="20"/>
  <c r="C119" i="20"/>
  <c r="C118" i="20"/>
  <c r="C111" i="20"/>
  <c r="C108" i="20"/>
  <c r="C107" i="20"/>
  <c r="C103" i="20"/>
  <c r="C96" i="20"/>
  <c r="C92" i="20"/>
  <c r="C91" i="20"/>
  <c r="C89" i="20"/>
  <c r="C85" i="20"/>
  <c r="C83" i="20" s="1"/>
  <c r="C84" i="20"/>
  <c r="C81" i="20"/>
  <c r="C78" i="20"/>
  <c r="C77" i="20"/>
  <c r="C76" i="20"/>
  <c r="D63" i="20"/>
  <c r="D60" i="20"/>
  <c r="D57" i="20"/>
  <c r="D58" i="20" s="1"/>
  <c r="C53" i="20"/>
  <c r="C68" i="20" s="1"/>
  <c r="C40" i="20"/>
  <c r="C39" i="20"/>
  <c r="C32" i="20"/>
  <c r="D32" i="20" s="1"/>
  <c r="C31" i="20"/>
  <c r="D31" i="20" s="1"/>
  <c r="D30" i="20"/>
  <c r="D27" i="20"/>
  <c r="D59" i="20" s="1"/>
  <c r="D173" i="19"/>
  <c r="C158" i="19"/>
  <c r="C159" i="19" s="1"/>
  <c r="D140" i="19"/>
  <c r="D139" i="19"/>
  <c r="D143" i="19" s="1"/>
  <c r="D167" i="19" s="1"/>
  <c r="C129" i="19"/>
  <c r="C119" i="19"/>
  <c r="C118" i="19"/>
  <c r="C111" i="19"/>
  <c r="C108" i="19"/>
  <c r="C107" i="19"/>
  <c r="C103" i="19"/>
  <c r="C96" i="19"/>
  <c r="C92" i="19"/>
  <c r="C91" i="19"/>
  <c r="C89" i="19"/>
  <c r="C85" i="19"/>
  <c r="C83" i="19" s="1"/>
  <c r="C84" i="19"/>
  <c r="C81" i="19"/>
  <c r="C78" i="19"/>
  <c r="C77" i="19"/>
  <c r="C76" i="19"/>
  <c r="D63" i="19"/>
  <c r="D60" i="19"/>
  <c r="D57" i="19"/>
  <c r="D58" i="19" s="1"/>
  <c r="C53" i="19"/>
  <c r="C68" i="19" s="1"/>
  <c r="C40" i="19"/>
  <c r="C39" i="19"/>
  <c r="D32" i="19"/>
  <c r="D30" i="19"/>
  <c r="D31" i="19" s="1"/>
  <c r="D27" i="19"/>
  <c r="D29" i="19" s="1"/>
  <c r="D57" i="17"/>
  <c r="D30" i="17"/>
  <c r="D27" i="17"/>
  <c r="D56" i="17" s="1"/>
  <c r="D30" i="18"/>
  <c r="D57" i="18"/>
  <c r="C32" i="18"/>
  <c r="D32" i="18" s="1"/>
  <c r="C31" i="18"/>
  <c r="D31" i="18" s="1"/>
  <c r="D28" i="19" l="1"/>
  <c r="D34" i="19" s="1"/>
  <c r="D59" i="19"/>
  <c r="C42" i="19"/>
  <c r="C67" i="19" s="1"/>
  <c r="C42" i="20"/>
  <c r="C67" i="20" s="1"/>
  <c r="C93" i="27"/>
  <c r="C42" i="26"/>
  <c r="C67" i="26" s="1"/>
  <c r="D56" i="26"/>
  <c r="D56" i="25"/>
  <c r="D56" i="22"/>
  <c r="D56" i="20"/>
  <c r="D29" i="27"/>
  <c r="D34" i="27" s="1"/>
  <c r="D59" i="27"/>
  <c r="D56" i="27"/>
  <c r="D28" i="26"/>
  <c r="D29" i="26"/>
  <c r="C68" i="26"/>
  <c r="C42" i="25"/>
  <c r="C67" i="25" s="1"/>
  <c r="D28" i="25"/>
  <c r="D34" i="25" s="1"/>
  <c r="C68" i="25"/>
  <c r="D59" i="25"/>
  <c r="C42" i="24"/>
  <c r="C67" i="24" s="1"/>
  <c r="D59" i="24"/>
  <c r="D28" i="24"/>
  <c r="D29" i="24"/>
  <c r="C93" i="24"/>
  <c r="C42" i="23"/>
  <c r="C67" i="23" s="1"/>
  <c r="D28" i="23"/>
  <c r="D29" i="23"/>
  <c r="C93" i="23"/>
  <c r="D59" i="23"/>
  <c r="D28" i="22"/>
  <c r="D29" i="22"/>
  <c r="C93" i="22"/>
  <c r="D28" i="20"/>
  <c r="D29" i="20"/>
  <c r="C93" i="20"/>
  <c r="D56" i="19"/>
  <c r="C93" i="19"/>
  <c r="D27" i="18"/>
  <c r="D56" i="18" s="1"/>
  <c r="D40" i="19" l="1"/>
  <c r="D41" i="19" s="1"/>
  <c r="D103" i="19" s="1"/>
  <c r="D61" i="19"/>
  <c r="D64" i="19" s="1"/>
  <c r="D85" i="19"/>
  <c r="D90" i="19"/>
  <c r="D92" i="19" s="1"/>
  <c r="D163" i="19"/>
  <c r="D76" i="19"/>
  <c r="D78" i="19" s="1"/>
  <c r="D39" i="19"/>
  <c r="C101" i="19"/>
  <c r="D101" i="19" s="1"/>
  <c r="D84" i="19"/>
  <c r="D83" i="19"/>
  <c r="D34" i="26"/>
  <c r="D90" i="26" s="1"/>
  <c r="D34" i="22"/>
  <c r="D61" i="22" s="1"/>
  <c r="D64" i="22" s="1"/>
  <c r="D34" i="20"/>
  <c r="D90" i="20" s="1"/>
  <c r="D40" i="27"/>
  <c r="D41" i="27" s="1"/>
  <c r="D103" i="27" s="1"/>
  <c r="D83" i="27"/>
  <c r="D163" i="27"/>
  <c r="D61" i="27"/>
  <c r="D64" i="27" s="1"/>
  <c r="D84" i="27"/>
  <c r="C101" i="27"/>
  <c r="C102" i="27" s="1"/>
  <c r="D76" i="27"/>
  <c r="D77" i="27" s="1"/>
  <c r="D79" i="27" s="1"/>
  <c r="D85" i="27"/>
  <c r="D39" i="27"/>
  <c r="D90" i="27"/>
  <c r="D91" i="27" s="1"/>
  <c r="D93" i="27" s="1"/>
  <c r="D163" i="25"/>
  <c r="D90" i="25"/>
  <c r="D83" i="25"/>
  <c r="D76" i="25"/>
  <c r="D61" i="25"/>
  <c r="D64" i="25" s="1"/>
  <c r="C101" i="25"/>
  <c r="D39" i="25"/>
  <c r="D85" i="25"/>
  <c r="D84" i="25"/>
  <c r="D40" i="25"/>
  <c r="D41" i="25" s="1"/>
  <c r="D103" i="25" s="1"/>
  <c r="D34" i="24"/>
  <c r="D90" i="24" s="1"/>
  <c r="D34" i="23"/>
  <c r="D173" i="18"/>
  <c r="C158" i="18"/>
  <c r="C159" i="18" s="1"/>
  <c r="D141" i="18"/>
  <c r="D140" i="18"/>
  <c r="D139" i="18"/>
  <c r="D143" i="18" s="1"/>
  <c r="D167" i="18" s="1"/>
  <c r="C129" i="18"/>
  <c r="C119" i="18"/>
  <c r="C118" i="18"/>
  <c r="C111" i="18"/>
  <c r="C108" i="18"/>
  <c r="C107" i="18"/>
  <c r="C103" i="18"/>
  <c r="C96" i="18"/>
  <c r="C92" i="18"/>
  <c r="C91" i="18"/>
  <c r="C89" i="18"/>
  <c r="C85" i="18"/>
  <c r="C83" i="18" s="1"/>
  <c r="C84" i="18"/>
  <c r="C81" i="18"/>
  <c r="C78" i="18"/>
  <c r="C77" i="18"/>
  <c r="C76" i="18"/>
  <c r="D63" i="18"/>
  <c r="D60" i="18"/>
  <c r="D58" i="18"/>
  <c r="C53" i="18"/>
  <c r="C68" i="18" s="1"/>
  <c r="C40" i="18"/>
  <c r="C42" i="18" s="1"/>
  <c r="C67" i="18" s="1"/>
  <c r="C39" i="18"/>
  <c r="D29" i="18"/>
  <c r="D28" i="18"/>
  <c r="D59" i="18"/>
  <c r="C11" i="18"/>
  <c r="D141" i="16"/>
  <c r="D140" i="16"/>
  <c r="D57" i="16"/>
  <c r="D30" i="16"/>
  <c r="D31" i="16" s="1"/>
  <c r="D27" i="16"/>
  <c r="D56" i="16" s="1"/>
  <c r="D173" i="17"/>
  <c r="C158" i="17"/>
  <c r="C159" i="17" s="1"/>
  <c r="D141" i="17"/>
  <c r="D140" i="17"/>
  <c r="D139" i="17"/>
  <c r="D143" i="17" s="1"/>
  <c r="D167" i="17" s="1"/>
  <c r="C129" i="17"/>
  <c r="C119" i="17"/>
  <c r="C118" i="17"/>
  <c r="C111" i="17"/>
  <c r="C108" i="17"/>
  <c r="C107" i="17"/>
  <c r="C103" i="17"/>
  <c r="C96" i="17"/>
  <c r="C92" i="17"/>
  <c r="C91" i="17"/>
  <c r="C89" i="17"/>
  <c r="C85" i="17"/>
  <c r="C83" i="17" s="1"/>
  <c r="C84" i="17"/>
  <c r="C81" i="17"/>
  <c r="C78" i="17"/>
  <c r="C77" i="17"/>
  <c r="C76" i="17"/>
  <c r="D63" i="17"/>
  <c r="D60" i="17"/>
  <c r="D58" i="17"/>
  <c r="C53" i="17"/>
  <c r="C93" i="17" s="1"/>
  <c r="C40" i="17"/>
  <c r="C42" i="17" s="1"/>
  <c r="C67" i="17" s="1"/>
  <c r="C39" i="17"/>
  <c r="D32" i="17"/>
  <c r="D31" i="17"/>
  <c r="H39" i="15"/>
  <c r="H38" i="15"/>
  <c r="D42" i="27" l="1"/>
  <c r="D47" i="27" s="1"/>
  <c r="C102" i="19"/>
  <c r="D102" i="19" s="1"/>
  <c r="D82" i="19"/>
  <c r="D81" i="19" s="1"/>
  <c r="D80" i="19" s="1"/>
  <c r="D91" i="19"/>
  <c r="D93" i="19" s="1"/>
  <c r="D42" i="19"/>
  <c r="D48" i="19" s="1"/>
  <c r="D77" i="19"/>
  <c r="D79" i="19" s="1"/>
  <c r="D163" i="20"/>
  <c r="D40" i="20"/>
  <c r="D41" i="20" s="1"/>
  <c r="D103" i="20" s="1"/>
  <c r="D85" i="22"/>
  <c r="D40" i="26"/>
  <c r="D41" i="26" s="1"/>
  <c r="D103" i="26" s="1"/>
  <c r="D84" i="26"/>
  <c r="D85" i="26"/>
  <c r="D61" i="26"/>
  <c r="D64" i="26" s="1"/>
  <c r="C69" i="26" s="1"/>
  <c r="C101" i="26"/>
  <c r="C102" i="26" s="1"/>
  <c r="D102" i="26" s="1"/>
  <c r="D39" i="26"/>
  <c r="D83" i="26"/>
  <c r="D163" i="26"/>
  <c r="D76" i="26"/>
  <c r="D77" i="26" s="1"/>
  <c r="D84" i="22"/>
  <c r="D76" i="22"/>
  <c r="D78" i="22" s="1"/>
  <c r="D90" i="22"/>
  <c r="D91" i="22" s="1"/>
  <c r="D93" i="22" s="1"/>
  <c r="C101" i="22"/>
  <c r="D101" i="22" s="1"/>
  <c r="D39" i="22"/>
  <c r="D40" i="22"/>
  <c r="D41" i="22" s="1"/>
  <c r="D103" i="22" s="1"/>
  <c r="D163" i="22"/>
  <c r="D83" i="22"/>
  <c r="D39" i="20"/>
  <c r="D61" i="20"/>
  <c r="D64" i="20" s="1"/>
  <c r="D94" i="20" s="1"/>
  <c r="D85" i="20"/>
  <c r="D76" i="20"/>
  <c r="D77" i="20" s="1"/>
  <c r="D79" i="20" s="1"/>
  <c r="C101" i="20"/>
  <c r="C102" i="20" s="1"/>
  <c r="D102" i="20" s="1"/>
  <c r="D84" i="20"/>
  <c r="D83" i="20"/>
  <c r="D82" i="27"/>
  <c r="D81" i="27" s="1"/>
  <c r="D80" i="27" s="1"/>
  <c r="D92" i="27"/>
  <c r="D78" i="27"/>
  <c r="D75" i="27" s="1"/>
  <c r="D101" i="27"/>
  <c r="D102" i="27"/>
  <c r="C104" i="27"/>
  <c r="D94" i="27"/>
  <c r="C69" i="27"/>
  <c r="D69" i="27"/>
  <c r="D49" i="27"/>
  <c r="D163" i="24"/>
  <c r="D40" i="24"/>
  <c r="D41" i="24" s="1"/>
  <c r="D103" i="24" s="1"/>
  <c r="D92" i="26"/>
  <c r="D91" i="26"/>
  <c r="D93" i="26" s="1"/>
  <c r="D42" i="25"/>
  <c r="D67" i="25" s="1"/>
  <c r="D82" i="25"/>
  <c r="D97" i="25" s="1"/>
  <c r="D96" i="25" s="1"/>
  <c r="D95" i="25" s="1"/>
  <c r="C69" i="25"/>
  <c r="D94" i="25"/>
  <c r="D69" i="25"/>
  <c r="D92" i="25"/>
  <c r="D91" i="25"/>
  <c r="D93" i="25" s="1"/>
  <c r="D78" i="25"/>
  <c r="D77" i="25"/>
  <c r="D79" i="25" s="1"/>
  <c r="C102" i="25"/>
  <c r="D102" i="25" s="1"/>
  <c r="D101" i="25"/>
  <c r="D85" i="24"/>
  <c r="D76" i="24"/>
  <c r="D77" i="24" s="1"/>
  <c r="D79" i="24" s="1"/>
  <c r="D61" i="24"/>
  <c r="D64" i="24" s="1"/>
  <c r="C69" i="24" s="1"/>
  <c r="D84" i="24"/>
  <c r="D83" i="24"/>
  <c r="C101" i="24"/>
  <c r="C102" i="24" s="1"/>
  <c r="D102" i="24" s="1"/>
  <c r="D39" i="24"/>
  <c r="D92" i="24"/>
  <c r="D91" i="24"/>
  <c r="D61" i="23"/>
  <c r="D64" i="23" s="1"/>
  <c r="D163" i="23"/>
  <c r="D90" i="23"/>
  <c r="D83" i="23"/>
  <c r="D84" i="23"/>
  <c r="D85" i="23"/>
  <c r="C101" i="23"/>
  <c r="D76" i="23"/>
  <c r="D39" i="23"/>
  <c r="D40" i="23"/>
  <c r="D41" i="23" s="1"/>
  <c r="D103" i="23" s="1"/>
  <c r="D94" i="22"/>
  <c r="D69" i="22"/>
  <c r="C69" i="22"/>
  <c r="D91" i="20"/>
  <c r="D93" i="20" s="1"/>
  <c r="D92" i="20"/>
  <c r="D104" i="19"/>
  <c r="D112" i="19" s="1"/>
  <c r="D97" i="19"/>
  <c r="D96" i="19" s="1"/>
  <c r="D95" i="19" s="1"/>
  <c r="D69" i="19"/>
  <c r="C69" i="19"/>
  <c r="D94" i="19"/>
  <c r="C68" i="17"/>
  <c r="D28" i="17"/>
  <c r="D29" i="17"/>
  <c r="D34" i="18"/>
  <c r="C93" i="18"/>
  <c r="D59" i="17"/>
  <c r="H35" i="15"/>
  <c r="H34" i="15"/>
  <c r="H45" i="15"/>
  <c r="H50" i="15" s="1"/>
  <c r="D51" i="27" l="1"/>
  <c r="D45" i="27"/>
  <c r="D50" i="19"/>
  <c r="D67" i="27"/>
  <c r="D48" i="27"/>
  <c r="D46" i="27"/>
  <c r="D52" i="27"/>
  <c r="C104" i="19"/>
  <c r="D104" i="25"/>
  <c r="D112" i="25" s="1"/>
  <c r="D104" i="27"/>
  <c r="D112" i="27" s="1"/>
  <c r="D50" i="27"/>
  <c r="D82" i="22"/>
  <c r="D97" i="22" s="1"/>
  <c r="D96" i="22" s="1"/>
  <c r="D95" i="22" s="1"/>
  <c r="C102" i="22"/>
  <c r="D102" i="22" s="1"/>
  <c r="D104" i="22" s="1"/>
  <c r="D112" i="22" s="1"/>
  <c r="D42" i="20"/>
  <c r="D67" i="20" s="1"/>
  <c r="D49" i="19"/>
  <c r="D89" i="19"/>
  <c r="D98" i="19" s="1"/>
  <c r="D108" i="19" s="1"/>
  <c r="D67" i="19"/>
  <c r="D45" i="19"/>
  <c r="D52" i="19"/>
  <c r="D47" i="19"/>
  <c r="D46" i="19"/>
  <c r="D51" i="19"/>
  <c r="D75" i="19"/>
  <c r="D86" i="19" s="1"/>
  <c r="D107" i="19" s="1"/>
  <c r="D78" i="20"/>
  <c r="D75" i="20" s="1"/>
  <c r="D101" i="20"/>
  <c r="D104" i="20" s="1"/>
  <c r="D112" i="20" s="1"/>
  <c r="C69" i="20"/>
  <c r="D42" i="24"/>
  <c r="D45" i="24" s="1"/>
  <c r="D97" i="27"/>
  <c r="D96" i="27" s="1"/>
  <c r="D95" i="27" s="1"/>
  <c r="D42" i="26"/>
  <c r="D67" i="26" s="1"/>
  <c r="D79" i="26"/>
  <c r="D101" i="26"/>
  <c r="D104" i="26" s="1"/>
  <c r="D112" i="26" s="1"/>
  <c r="D94" i="26"/>
  <c r="D89" i="26" s="1"/>
  <c r="D78" i="26"/>
  <c r="D69" i="26"/>
  <c r="D82" i="26"/>
  <c r="D81" i="26" s="1"/>
  <c r="D80" i="26" s="1"/>
  <c r="C104" i="26"/>
  <c r="D48" i="25"/>
  <c r="D92" i="22"/>
  <c r="D89" i="22" s="1"/>
  <c r="D77" i="22"/>
  <c r="D79" i="22" s="1"/>
  <c r="D42" i="22"/>
  <c r="D69" i="20"/>
  <c r="D82" i="20"/>
  <c r="D86" i="27"/>
  <c r="D107" i="27" s="1"/>
  <c r="D89" i="27"/>
  <c r="D69" i="24"/>
  <c r="D94" i="24"/>
  <c r="D82" i="24"/>
  <c r="D81" i="24" s="1"/>
  <c r="D80" i="24" s="1"/>
  <c r="D101" i="24"/>
  <c r="D104" i="24" s="1"/>
  <c r="D112" i="24" s="1"/>
  <c r="D50" i="25"/>
  <c r="D46" i="25"/>
  <c r="D52" i="25"/>
  <c r="D45" i="25"/>
  <c r="D51" i="25"/>
  <c r="D49" i="25"/>
  <c r="D47" i="25"/>
  <c r="C104" i="25"/>
  <c r="D81" i="25"/>
  <c r="D80" i="25" s="1"/>
  <c r="D75" i="25"/>
  <c r="D89" i="25"/>
  <c r="D98" i="25" s="1"/>
  <c r="D108" i="25" s="1"/>
  <c r="D78" i="24"/>
  <c r="D75" i="24" s="1"/>
  <c r="C104" i="24"/>
  <c r="D93" i="24"/>
  <c r="D69" i="23"/>
  <c r="C69" i="23"/>
  <c r="D94" i="23"/>
  <c r="D42" i="23"/>
  <c r="D77" i="23"/>
  <c r="D78" i="23"/>
  <c r="D82" i="23"/>
  <c r="C102" i="23"/>
  <c r="D102" i="23" s="1"/>
  <c r="D101" i="23"/>
  <c r="D92" i="23"/>
  <c r="D91" i="23"/>
  <c r="D93" i="23"/>
  <c r="C104" i="20"/>
  <c r="D89" i="20"/>
  <c r="D34" i="17"/>
  <c r="D61" i="18"/>
  <c r="D64" i="18" s="1"/>
  <c r="D163" i="18"/>
  <c r="D90" i="18"/>
  <c r="D83" i="18"/>
  <c r="D40" i="18"/>
  <c r="D41" i="18" s="1"/>
  <c r="D103" i="18" s="1"/>
  <c r="C101" i="18"/>
  <c r="D76" i="18"/>
  <c r="D85" i="18"/>
  <c r="D39" i="18"/>
  <c r="D84" i="18"/>
  <c r="H49" i="15"/>
  <c r="H48" i="15"/>
  <c r="D58" i="16"/>
  <c r="D60" i="16"/>
  <c r="C111" i="16"/>
  <c r="D50" i="26" l="1"/>
  <c r="D53" i="27"/>
  <c r="D68" i="27" s="1"/>
  <c r="D70" i="27" s="1"/>
  <c r="D164" i="27" s="1"/>
  <c r="D48" i="26"/>
  <c r="D98" i="27"/>
  <c r="D108" i="27" s="1"/>
  <c r="D109" i="27" s="1"/>
  <c r="D110" i="27" s="1"/>
  <c r="D111" i="27" s="1"/>
  <c r="D113" i="27" s="1"/>
  <c r="D52" i="26"/>
  <c r="D45" i="26"/>
  <c r="C104" i="22"/>
  <c r="D98" i="22"/>
  <c r="D108" i="22" s="1"/>
  <c r="D50" i="20"/>
  <c r="D81" i="22"/>
  <c r="D80" i="22" s="1"/>
  <c r="D47" i="26"/>
  <c r="D51" i="26"/>
  <c r="D49" i="26"/>
  <c r="D46" i="26"/>
  <c r="D46" i="24"/>
  <c r="D52" i="24"/>
  <c r="D51" i="24"/>
  <c r="D47" i="24"/>
  <c r="D49" i="24"/>
  <c r="D50" i="24"/>
  <c r="D47" i="20"/>
  <c r="D51" i="20"/>
  <c r="D49" i="20"/>
  <c r="D46" i="20"/>
  <c r="D45" i="20"/>
  <c r="D48" i="20"/>
  <c r="D52" i="20"/>
  <c r="D53" i="19"/>
  <c r="D68" i="19" s="1"/>
  <c r="D70" i="19" s="1"/>
  <c r="D164" i="19" s="1"/>
  <c r="D109" i="19"/>
  <c r="D110" i="19" s="1"/>
  <c r="D111" i="19" s="1"/>
  <c r="D113" i="19" s="1"/>
  <c r="D165" i="19" s="1"/>
  <c r="D48" i="24"/>
  <c r="D67" i="24"/>
  <c r="D97" i="24"/>
  <c r="D96" i="24" s="1"/>
  <c r="D95" i="24" s="1"/>
  <c r="D97" i="26"/>
  <c r="D96" i="26" s="1"/>
  <c r="D95" i="26" s="1"/>
  <c r="D98" i="26" s="1"/>
  <c r="D108" i="26" s="1"/>
  <c r="D75" i="26"/>
  <c r="D86" i="26" s="1"/>
  <c r="D107" i="26" s="1"/>
  <c r="D53" i="25"/>
  <c r="D68" i="25" s="1"/>
  <c r="D70" i="25" s="1"/>
  <c r="D164" i="25" s="1"/>
  <c r="D75" i="22"/>
  <c r="D67" i="22"/>
  <c r="D52" i="22"/>
  <c r="D49" i="22"/>
  <c r="D47" i="22"/>
  <c r="D45" i="22"/>
  <c r="D46" i="22"/>
  <c r="D48" i="22"/>
  <c r="D51" i="22"/>
  <c r="D50" i="22"/>
  <c r="D81" i="20"/>
  <c r="D80" i="20" s="1"/>
  <c r="D86" i="20" s="1"/>
  <c r="D107" i="20" s="1"/>
  <c r="D97" i="20"/>
  <c r="D96" i="20" s="1"/>
  <c r="D95" i="20" s="1"/>
  <c r="D98" i="20" s="1"/>
  <c r="D108" i="20" s="1"/>
  <c r="D89" i="24"/>
  <c r="D86" i="25"/>
  <c r="D107" i="25" s="1"/>
  <c r="D109" i="25" s="1"/>
  <c r="D110" i="25" s="1"/>
  <c r="D111" i="25" s="1"/>
  <c r="D113" i="25" s="1"/>
  <c r="D86" i="24"/>
  <c r="D107" i="24" s="1"/>
  <c r="C104" i="23"/>
  <c r="D104" i="23"/>
  <c r="D112" i="23" s="1"/>
  <c r="D89" i="23"/>
  <c r="D67" i="23"/>
  <c r="D51" i="23"/>
  <c r="D48" i="23"/>
  <c r="D45" i="23"/>
  <c r="D50" i="23"/>
  <c r="D47" i="23"/>
  <c r="D52" i="23"/>
  <c r="D49" i="23"/>
  <c r="D46" i="23"/>
  <c r="D97" i="23"/>
  <c r="D96" i="23" s="1"/>
  <c r="D95" i="23" s="1"/>
  <c r="D81" i="23"/>
  <c r="D80" i="23" s="1"/>
  <c r="D79" i="23"/>
  <c r="D75" i="23" s="1"/>
  <c r="D76" i="17"/>
  <c r="D84" i="17"/>
  <c r="D85" i="17"/>
  <c r="D61" i="17"/>
  <c r="D64" i="17" s="1"/>
  <c r="D90" i="17"/>
  <c r="D83" i="17"/>
  <c r="D39" i="17"/>
  <c r="D163" i="17"/>
  <c r="D40" i="17"/>
  <c r="D41" i="17" s="1"/>
  <c r="D103" i="17" s="1"/>
  <c r="C101" i="17"/>
  <c r="D42" i="18"/>
  <c r="D67" i="18" s="1"/>
  <c r="D82" i="18"/>
  <c r="C102" i="18"/>
  <c r="D102" i="18" s="1"/>
  <c r="D101" i="18"/>
  <c r="D92" i="18"/>
  <c r="D91" i="18"/>
  <c r="D93" i="18" s="1"/>
  <c r="D78" i="18"/>
  <c r="D77" i="18"/>
  <c r="D69" i="18"/>
  <c r="C69" i="18"/>
  <c r="D94" i="18"/>
  <c r="C118" i="16"/>
  <c r="D123" i="19" l="1"/>
  <c r="D126" i="19"/>
  <c r="D123" i="27"/>
  <c r="D124" i="27"/>
  <c r="D128" i="27"/>
  <c r="D126" i="27"/>
  <c r="D125" i="27"/>
  <c r="D118" i="27"/>
  <c r="D165" i="27"/>
  <c r="D127" i="27"/>
  <c r="D86" i="22"/>
  <c r="D107" i="22" s="1"/>
  <c r="D109" i="22" s="1"/>
  <c r="D110" i="22" s="1"/>
  <c r="D111" i="22" s="1"/>
  <c r="D113" i="22" s="1"/>
  <c r="D125" i="22" s="1"/>
  <c r="D118" i="19"/>
  <c r="D53" i="26"/>
  <c r="D68" i="26" s="1"/>
  <c r="D70" i="26" s="1"/>
  <c r="D164" i="26" s="1"/>
  <c r="D53" i="20"/>
  <c r="D68" i="20" s="1"/>
  <c r="D70" i="20" s="1"/>
  <c r="D164" i="20" s="1"/>
  <c r="D53" i="24"/>
  <c r="D68" i="24" s="1"/>
  <c r="D70" i="24" s="1"/>
  <c r="D164" i="24" s="1"/>
  <c r="D124" i="19"/>
  <c r="D127" i="19"/>
  <c r="D125" i="19"/>
  <c r="D128" i="19"/>
  <c r="D109" i="20"/>
  <c r="D110" i="20" s="1"/>
  <c r="D111" i="20" s="1"/>
  <c r="D113" i="20" s="1"/>
  <c r="D125" i="20" s="1"/>
  <c r="D98" i="24"/>
  <c r="D108" i="24" s="1"/>
  <c r="D109" i="24" s="1"/>
  <c r="D110" i="24" s="1"/>
  <c r="D111" i="24" s="1"/>
  <c r="D113" i="24" s="1"/>
  <c r="D124" i="24" s="1"/>
  <c r="D109" i="26"/>
  <c r="D110" i="26" s="1"/>
  <c r="D111" i="26" s="1"/>
  <c r="D113" i="26" s="1"/>
  <c r="D165" i="26" s="1"/>
  <c r="D53" i="22"/>
  <c r="D68" i="22" s="1"/>
  <c r="D70" i="22" s="1"/>
  <c r="D164" i="22" s="1"/>
  <c r="D119" i="27"/>
  <c r="C120" i="27" s="1"/>
  <c r="D165" i="25"/>
  <c r="D123" i="25"/>
  <c r="D124" i="25"/>
  <c r="D125" i="25"/>
  <c r="D128" i="25"/>
  <c r="D118" i="25"/>
  <c r="D119" i="25" s="1"/>
  <c r="C120" i="25" s="1"/>
  <c r="D127" i="25"/>
  <c r="D126" i="25"/>
  <c r="D86" i="23"/>
  <c r="D107" i="23" s="1"/>
  <c r="D98" i="23"/>
  <c r="D108" i="23" s="1"/>
  <c r="D53" i="23"/>
  <c r="D68" i="23" s="1"/>
  <c r="D70" i="23" s="1"/>
  <c r="D165" i="22"/>
  <c r="D123" i="22"/>
  <c r="D124" i="22"/>
  <c r="D127" i="22"/>
  <c r="D128" i="22"/>
  <c r="D126" i="22"/>
  <c r="D119" i="19"/>
  <c r="C120" i="19" s="1"/>
  <c r="D82" i="17"/>
  <c r="D81" i="17" s="1"/>
  <c r="D80" i="17" s="1"/>
  <c r="D42" i="17"/>
  <c r="D50" i="17" s="1"/>
  <c r="D92" i="17"/>
  <c r="D91" i="17"/>
  <c r="D93" i="17" s="1"/>
  <c r="D69" i="17"/>
  <c r="D94" i="17"/>
  <c r="C69" i="17"/>
  <c r="D101" i="17"/>
  <c r="C102" i="17"/>
  <c r="D102" i="17" s="1"/>
  <c r="D78" i="17"/>
  <c r="D77" i="17"/>
  <c r="D79" i="17" s="1"/>
  <c r="D47" i="18"/>
  <c r="D52" i="18"/>
  <c r="D48" i="18"/>
  <c r="D46" i="18"/>
  <c r="D45" i="18"/>
  <c r="D104" i="18"/>
  <c r="D112" i="18" s="1"/>
  <c r="D50" i="18"/>
  <c r="D51" i="18"/>
  <c r="D49" i="18"/>
  <c r="D89" i="18"/>
  <c r="D79" i="18"/>
  <c r="D75" i="18" s="1"/>
  <c r="D97" i="18"/>
  <c r="D96" i="18" s="1"/>
  <c r="D95" i="18" s="1"/>
  <c r="D81" i="18"/>
  <c r="D80" i="18" s="1"/>
  <c r="C104" i="18"/>
  <c r="D59" i="16"/>
  <c r="D129" i="27" l="1"/>
  <c r="D133" i="27" s="1"/>
  <c r="D120" i="19"/>
  <c r="D132" i="19" s="1"/>
  <c r="D129" i="19"/>
  <c r="D133" i="19" s="1"/>
  <c r="D118" i="20"/>
  <c r="D119" i="20" s="1"/>
  <c r="C120" i="20" s="1"/>
  <c r="D127" i="20"/>
  <c r="D47" i="17"/>
  <c r="D134" i="19"/>
  <c r="D166" i="19" s="1"/>
  <c r="D168" i="19" s="1"/>
  <c r="D128" i="20"/>
  <c r="D165" i="20"/>
  <c r="D124" i="20"/>
  <c r="D126" i="20"/>
  <c r="D123" i="20"/>
  <c r="D120" i="25"/>
  <c r="D132" i="25" s="1"/>
  <c r="D123" i="26"/>
  <c r="D125" i="26"/>
  <c r="D126" i="26"/>
  <c r="D127" i="26"/>
  <c r="D124" i="26"/>
  <c r="D118" i="26"/>
  <c r="D119" i="26" s="1"/>
  <c r="C120" i="26" s="1"/>
  <c r="D128" i="26"/>
  <c r="D123" i="24"/>
  <c r="D118" i="24"/>
  <c r="D119" i="24" s="1"/>
  <c r="C120" i="24" s="1"/>
  <c r="D128" i="24"/>
  <c r="D125" i="24"/>
  <c r="D127" i="24"/>
  <c r="D165" i="24"/>
  <c r="D118" i="22"/>
  <c r="D119" i="22" s="1"/>
  <c r="C120" i="22" s="1"/>
  <c r="D120" i="27"/>
  <c r="D132" i="27" s="1"/>
  <c r="D109" i="23"/>
  <c r="D110" i="23" s="1"/>
  <c r="D111" i="23" s="1"/>
  <c r="D113" i="23" s="1"/>
  <c r="D128" i="23" s="1"/>
  <c r="D126" i="24"/>
  <c r="D129" i="25"/>
  <c r="D133" i="25" s="1"/>
  <c r="D164" i="23"/>
  <c r="D129" i="22"/>
  <c r="D133" i="22" s="1"/>
  <c r="D52" i="17"/>
  <c r="D49" i="17"/>
  <c r="D48" i="17"/>
  <c r="D45" i="17"/>
  <c r="D97" i="17"/>
  <c r="D96" i="17" s="1"/>
  <c r="D95" i="17" s="1"/>
  <c r="D75" i="17"/>
  <c r="D86" i="17" s="1"/>
  <c r="D107" i="17" s="1"/>
  <c r="D89" i="17"/>
  <c r="D46" i="17"/>
  <c r="D51" i="17"/>
  <c r="D67" i="17"/>
  <c r="C104" i="17"/>
  <c r="D104" i="17"/>
  <c r="D112" i="17" s="1"/>
  <c r="D53" i="18"/>
  <c r="D68" i="18" s="1"/>
  <c r="D70" i="18" s="1"/>
  <c r="D164" i="18" s="1"/>
  <c r="D98" i="18"/>
  <c r="D108" i="18" s="1"/>
  <c r="D86" i="18"/>
  <c r="D107" i="18" s="1"/>
  <c r="C40" i="16"/>
  <c r="C11" i="16"/>
  <c r="D134" i="27" l="1"/>
  <c r="D145" i="27" s="1"/>
  <c r="D150" i="27" s="1"/>
  <c r="D151" i="27" s="1"/>
  <c r="D152" i="27" s="1"/>
  <c r="D153" i="27" s="1"/>
  <c r="D129" i="26"/>
  <c r="D133" i="26" s="1"/>
  <c r="D129" i="20"/>
  <c r="D133" i="20" s="1"/>
  <c r="D145" i="19"/>
  <c r="D150" i="19" s="1"/>
  <c r="D151" i="19" s="1"/>
  <c r="D152" i="19" s="1"/>
  <c r="D153" i="19" s="1"/>
  <c r="D134" i="25"/>
  <c r="D145" i="25" s="1"/>
  <c r="D150" i="25" s="1"/>
  <c r="D151" i="25" s="1"/>
  <c r="D152" i="25" s="1"/>
  <c r="D153" i="25" s="1"/>
  <c r="D120" i="26"/>
  <c r="D132" i="26" s="1"/>
  <c r="D129" i="24"/>
  <c r="D133" i="24" s="1"/>
  <c r="D120" i="22"/>
  <c r="D132" i="22" s="1"/>
  <c r="D134" i="22" s="1"/>
  <c r="D166" i="22" s="1"/>
  <c r="D168" i="22" s="1"/>
  <c r="D166" i="27"/>
  <c r="D168" i="27" s="1"/>
  <c r="D120" i="20"/>
  <c r="D132" i="20" s="1"/>
  <c r="D134" i="20" s="1"/>
  <c r="D166" i="20" s="1"/>
  <c r="D168" i="20" s="1"/>
  <c r="D125" i="23"/>
  <c r="D126" i="23"/>
  <c r="D165" i="23"/>
  <c r="D124" i="23"/>
  <c r="D127" i="23"/>
  <c r="D118" i="23"/>
  <c r="D119" i="23" s="1"/>
  <c r="C120" i="23" s="1"/>
  <c r="D123" i="23"/>
  <c r="D120" i="24"/>
  <c r="D132" i="24" s="1"/>
  <c r="D53" i="17"/>
  <c r="D68" i="17" s="1"/>
  <c r="D70" i="17" s="1"/>
  <c r="D164" i="17" s="1"/>
  <c r="D98" i="17"/>
  <c r="D108" i="17" s="1"/>
  <c r="D109" i="17" s="1"/>
  <c r="D110" i="17" s="1"/>
  <c r="D111" i="17" s="1"/>
  <c r="D113" i="17" s="1"/>
  <c r="D109" i="18"/>
  <c r="D110" i="18" s="1"/>
  <c r="D111" i="18" s="1"/>
  <c r="D113" i="18" s="1"/>
  <c r="D118" i="18" s="1"/>
  <c r="D119" i="18" s="1"/>
  <c r="C89" i="16"/>
  <c r="D134" i="26" l="1"/>
  <c r="D166" i="26" s="1"/>
  <c r="D168" i="26" s="1"/>
  <c r="D134" i="24"/>
  <c r="D166" i="24" s="1"/>
  <c r="D168" i="24" s="1"/>
  <c r="D166" i="25"/>
  <c r="D168" i="25" s="1"/>
  <c r="D129" i="23"/>
  <c r="D133" i="23" s="1"/>
  <c r="D155" i="27"/>
  <c r="D156" i="27"/>
  <c r="D157" i="27"/>
  <c r="D145" i="20"/>
  <c r="D150" i="20" s="1"/>
  <c r="D151" i="20" s="1"/>
  <c r="D152" i="20" s="1"/>
  <c r="D153" i="20" s="1"/>
  <c r="D155" i="25"/>
  <c r="D157" i="25"/>
  <c r="D156" i="25"/>
  <c r="D120" i="23"/>
  <c r="D132" i="23" s="1"/>
  <c r="D145" i="22"/>
  <c r="D150" i="22" s="1"/>
  <c r="D151" i="22" s="1"/>
  <c r="D152" i="22" s="1"/>
  <c r="D153" i="22" s="1"/>
  <c r="D156" i="19"/>
  <c r="D157" i="19"/>
  <c r="D155" i="19"/>
  <c r="D165" i="17"/>
  <c r="D124" i="17"/>
  <c r="D126" i="17"/>
  <c r="D125" i="17"/>
  <c r="D123" i="17"/>
  <c r="D128" i="17"/>
  <c r="D127" i="17"/>
  <c r="D118" i="17"/>
  <c r="D119" i="17" s="1"/>
  <c r="C120" i="17" s="1"/>
  <c r="D126" i="18"/>
  <c r="C120" i="18"/>
  <c r="D120" i="18"/>
  <c r="D132" i="18" s="1"/>
  <c r="D128" i="18"/>
  <c r="D123" i="18"/>
  <c r="D125" i="18"/>
  <c r="D127" i="18"/>
  <c r="D124" i="18"/>
  <c r="D165" i="18"/>
  <c r="C76" i="16"/>
  <c r="C158" i="16"/>
  <c r="C159" i="16" s="1"/>
  <c r="C129" i="16"/>
  <c r="C119" i="16"/>
  <c r="C107" i="16"/>
  <c r="C103" i="16"/>
  <c r="C108" i="16"/>
  <c r="C96" i="16"/>
  <c r="C92" i="16"/>
  <c r="C91" i="16"/>
  <c r="C81" i="16"/>
  <c r="C78" i="16"/>
  <c r="C77" i="16"/>
  <c r="D63" i="16"/>
  <c r="C53" i="16"/>
  <c r="C68" i="16" s="1"/>
  <c r="C39" i="16"/>
  <c r="D32" i="16"/>
  <c r="D145" i="26" l="1"/>
  <c r="D150" i="26" s="1"/>
  <c r="D151" i="26" s="1"/>
  <c r="D152" i="26" s="1"/>
  <c r="D153" i="26" s="1"/>
  <c r="D155" i="26" s="1"/>
  <c r="D145" i="24"/>
  <c r="D150" i="24" s="1"/>
  <c r="D151" i="24" s="1"/>
  <c r="D152" i="24" s="1"/>
  <c r="D153" i="24" s="1"/>
  <c r="D134" i="23"/>
  <c r="D145" i="23" s="1"/>
  <c r="D150" i="23" s="1"/>
  <c r="D151" i="23" s="1"/>
  <c r="D152" i="23" s="1"/>
  <c r="D153" i="23" s="1"/>
  <c r="D158" i="27"/>
  <c r="D159" i="27" s="1"/>
  <c r="D169" i="27" s="1"/>
  <c r="D170" i="27" s="1"/>
  <c r="D174" i="27" s="1"/>
  <c r="E15" i="13" s="1"/>
  <c r="G15" i="13" s="1"/>
  <c r="I15" i="13" s="1"/>
  <c r="D158" i="25"/>
  <c r="D159" i="25" s="1"/>
  <c r="D169" i="25" s="1"/>
  <c r="D170" i="25" s="1"/>
  <c r="D174" i="25" s="1"/>
  <c r="E13" i="13" s="1"/>
  <c r="G13" i="13" s="1"/>
  <c r="I13" i="13" s="1"/>
  <c r="D156" i="22"/>
  <c r="D155" i="22"/>
  <c r="D157" i="22"/>
  <c r="D158" i="19"/>
  <c r="D159" i="19" s="1"/>
  <c r="D169" i="19" s="1"/>
  <c r="D170" i="19" s="1"/>
  <c r="D174" i="19" s="1"/>
  <c r="E8" i="13" s="1"/>
  <c r="G8" i="13" s="1"/>
  <c r="I8" i="13" s="1"/>
  <c r="D155" i="20"/>
  <c r="D156" i="20"/>
  <c r="D157" i="20"/>
  <c r="D129" i="17"/>
  <c r="D133" i="17" s="1"/>
  <c r="D120" i="17"/>
  <c r="D132" i="17" s="1"/>
  <c r="D129" i="18"/>
  <c r="D133" i="18" s="1"/>
  <c r="D134" i="18" s="1"/>
  <c r="D166" i="18" s="1"/>
  <c r="D168" i="18" s="1"/>
  <c r="D29" i="16"/>
  <c r="D28" i="16"/>
  <c r="C85" i="16"/>
  <c r="C83" i="16" s="1"/>
  <c r="C42" i="16"/>
  <c r="C67" i="16" s="1"/>
  <c r="C84" i="16"/>
  <c r="C93" i="16"/>
  <c r="D157" i="26" l="1"/>
  <c r="D156" i="26"/>
  <c r="D166" i="23"/>
  <c r="D168" i="23" s="1"/>
  <c r="D156" i="24"/>
  <c r="D157" i="24"/>
  <c r="D155" i="24"/>
  <c r="D155" i="23"/>
  <c r="D156" i="23"/>
  <c r="D157" i="23"/>
  <c r="D158" i="22"/>
  <c r="D159" i="22" s="1"/>
  <c r="D169" i="22" s="1"/>
  <c r="D170" i="22" s="1"/>
  <c r="D174" i="22" s="1"/>
  <c r="E10" i="13" s="1"/>
  <c r="G10" i="13" s="1"/>
  <c r="I10" i="13" s="1"/>
  <c r="D158" i="20"/>
  <c r="D159" i="20" s="1"/>
  <c r="D169" i="20" s="1"/>
  <c r="D170" i="20" s="1"/>
  <c r="D174" i="20" s="1"/>
  <c r="E9" i="13" s="1"/>
  <c r="G9" i="13" s="1"/>
  <c r="I9" i="13" s="1"/>
  <c r="D134" i="17"/>
  <c r="D166" i="17" s="1"/>
  <c r="D168" i="17" s="1"/>
  <c r="D145" i="18"/>
  <c r="D150" i="18" s="1"/>
  <c r="D151" i="18" s="1"/>
  <c r="D152" i="18" s="1"/>
  <c r="D153" i="18" s="1"/>
  <c r="D34" i="16"/>
  <c r="F33" i="15"/>
  <c r="D158" i="26" l="1"/>
  <c r="D159" i="26" s="1"/>
  <c r="D169" i="26" s="1"/>
  <c r="D170" i="26" s="1"/>
  <c r="D174" i="26" s="1"/>
  <c r="E14" i="13" s="1"/>
  <c r="G14" i="13" s="1"/>
  <c r="I14" i="13" s="1"/>
  <c r="D158" i="24"/>
  <c r="D159" i="24" s="1"/>
  <c r="D169" i="24" s="1"/>
  <c r="D170" i="24" s="1"/>
  <c r="D174" i="24" s="1"/>
  <c r="E12" i="13" s="1"/>
  <c r="G12" i="13" s="1"/>
  <c r="I12" i="13" s="1"/>
  <c r="D158" i="23"/>
  <c r="D159" i="23" s="1"/>
  <c r="D169" i="23" s="1"/>
  <c r="D170" i="23" s="1"/>
  <c r="D174" i="23" s="1"/>
  <c r="E11" i="13" s="1"/>
  <c r="G11" i="13" s="1"/>
  <c r="I11" i="13" s="1"/>
  <c r="D145" i="17"/>
  <c r="D150" i="17" s="1"/>
  <c r="D151" i="17" s="1"/>
  <c r="D152" i="17" s="1"/>
  <c r="D153" i="17" s="1"/>
  <c r="D155" i="17" s="1"/>
  <c r="D155" i="18"/>
  <c r="D157" i="18"/>
  <c r="D156" i="18"/>
  <c r="D76" i="16"/>
  <c r="D61" i="16"/>
  <c r="D90" i="16"/>
  <c r="D92" i="16" s="1"/>
  <c r="D39" i="16"/>
  <c r="D83" i="16"/>
  <c r="D40" i="16"/>
  <c r="D84" i="16"/>
  <c r="C101" i="16"/>
  <c r="D101" i="16" s="1"/>
  <c r="D85" i="16"/>
  <c r="D163" i="16"/>
  <c r="D78" i="16" l="1"/>
  <c r="D156" i="17"/>
  <c r="D157" i="17"/>
  <c r="D158" i="18"/>
  <c r="D159" i="18" s="1"/>
  <c r="D169" i="18" s="1"/>
  <c r="D170" i="18" s="1"/>
  <c r="D174" i="18" s="1"/>
  <c r="E7" i="13" s="1"/>
  <c r="D91" i="16"/>
  <c r="D93" i="16" s="1"/>
  <c r="D41" i="16"/>
  <c r="D42" i="16" s="1"/>
  <c r="D77" i="16"/>
  <c r="D79" i="16" s="1"/>
  <c r="D82" i="16"/>
  <c r="D81" i="16" s="1"/>
  <c r="D80" i="16" s="1"/>
  <c r="C102" i="16"/>
  <c r="D102" i="16" s="1"/>
  <c r="D64" i="16"/>
  <c r="D75" i="16" l="1"/>
  <c r="D86" i="16" s="1"/>
  <c r="D107" i="16" s="1"/>
  <c r="D158" i="17"/>
  <c r="D159" i="17" s="1"/>
  <c r="D169" i="17" s="1"/>
  <c r="D170" i="17" s="1"/>
  <c r="D174" i="17" s="1"/>
  <c r="E6" i="13" s="1"/>
  <c r="D103" i="16"/>
  <c r="C104" i="16" s="1"/>
  <c r="D45" i="16"/>
  <c r="D50" i="16"/>
  <c r="D48" i="16"/>
  <c r="D49" i="16"/>
  <c r="D46" i="16"/>
  <c r="D47" i="16"/>
  <c r="D51" i="16"/>
  <c r="D67" i="16"/>
  <c r="D52" i="16"/>
  <c r="D97" i="16"/>
  <c r="D96" i="16" s="1"/>
  <c r="D95" i="16" s="1"/>
  <c r="D94" i="16"/>
  <c r="D89" i="16" s="1"/>
  <c r="D69" i="16"/>
  <c r="C69" i="16"/>
  <c r="D104" i="16" l="1"/>
  <c r="D112" i="16" s="1"/>
  <c r="D53" i="16"/>
  <c r="D68" i="16" s="1"/>
  <c r="D70" i="16" s="1"/>
  <c r="D164" i="16" s="1"/>
  <c r="D98" i="16"/>
  <c r="D108" i="16" s="1"/>
  <c r="D109" i="16" l="1"/>
  <c r="F15" i="15"/>
  <c r="H15" i="15" s="1"/>
  <c r="F16" i="15"/>
  <c r="H16" i="15" s="1"/>
  <c r="F29" i="15"/>
  <c r="H29" i="15" s="1"/>
  <c r="F24" i="15"/>
  <c r="H24" i="15" s="1"/>
  <c r="F25" i="15"/>
  <c r="H25" i="15" s="1"/>
  <c r="F26" i="15"/>
  <c r="H26" i="15" s="1"/>
  <c r="F27" i="15"/>
  <c r="H27" i="15" s="1"/>
  <c r="F28" i="15"/>
  <c r="H28" i="15" s="1"/>
  <c r="F30" i="15"/>
  <c r="H30" i="15" s="1"/>
  <c r="F31" i="15"/>
  <c r="H31" i="15" s="1"/>
  <c r="H33" i="15"/>
  <c r="F34" i="15"/>
  <c r="D110" i="16" l="1"/>
  <c r="D111" i="16" s="1"/>
  <c r="D113" i="16" s="1"/>
  <c r="F14" i="15"/>
  <c r="H14" i="15" s="1"/>
  <c r="F23" i="15"/>
  <c r="H23" i="15" s="1"/>
  <c r="F35" i="15"/>
  <c r="F13" i="15"/>
  <c r="H13" i="15" s="1"/>
  <c r="F12" i="15"/>
  <c r="H12" i="15" s="1"/>
  <c r="F11" i="15"/>
  <c r="H11" i="15" s="1"/>
  <c r="F10" i="15"/>
  <c r="H10" i="15" s="1"/>
  <c r="F9" i="15"/>
  <c r="H9" i="15" s="1"/>
  <c r="F8" i="15"/>
  <c r="H8" i="15" s="1"/>
  <c r="F7" i="15"/>
  <c r="H7" i="15" s="1"/>
  <c r="F6" i="15"/>
  <c r="H6" i="15" s="1"/>
  <c r="D127" i="16" l="1"/>
  <c r="D125" i="16"/>
  <c r="D126" i="16"/>
  <c r="D128" i="16"/>
  <c r="D118" i="16"/>
  <c r="D119" i="16" s="1"/>
  <c r="C120" i="16" s="1"/>
  <c r="D165" i="16"/>
  <c r="D123" i="16"/>
  <c r="D124" i="16"/>
  <c r="H17" i="15"/>
  <c r="D129" i="16" l="1"/>
  <c r="D133" i="16" s="1"/>
  <c r="D120" i="16"/>
  <c r="D132" i="16" s="1"/>
  <c r="D139" i="16"/>
  <c r="D134" i="16" l="1"/>
  <c r="D166" i="16" s="1"/>
  <c r="D143" i="16" l="1"/>
  <c r="D167" i="16" l="1"/>
  <c r="D168" i="16" s="1"/>
  <c r="D145" i="16"/>
  <c r="D150" i="16" s="1"/>
  <c r="D151" i="16" s="1"/>
  <c r="D152" i="16" s="1"/>
  <c r="D153" i="16" s="1"/>
  <c r="D156" i="16" l="1"/>
  <c r="D155" i="16"/>
  <c r="D157" i="16"/>
  <c r="D158" i="16" l="1"/>
  <c r="D159" i="16" s="1"/>
  <c r="D169" i="16" s="1"/>
  <c r="D170" i="16" s="1"/>
  <c r="D174" i="16" s="1"/>
  <c r="E5" i="13" s="1"/>
  <c r="G5" i="13" l="1"/>
  <c r="G6" i="13"/>
  <c r="I6" i="13" s="1"/>
  <c r="G7" i="13"/>
  <c r="I7" i="13" s="1"/>
  <c r="I5" i="13" l="1"/>
  <c r="I16" i="13" s="1"/>
  <c r="G16" i="1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LUAN LUCIO DA SILVA</author>
  </authors>
  <commentList>
    <comment ref="C7" authorId="0" shapeId="0" xr:uid="{00000000-0006-0000-0100-000001000000}">
      <text>
        <r>
          <rPr>
            <b/>
            <sz val="9"/>
            <color indexed="81"/>
            <rFont val="Segoe UI"/>
            <family val="2"/>
          </rPr>
          <t>Conforme farda adotada pela empresa</t>
        </r>
      </text>
    </comment>
    <comment ref="G23" authorId="0" shapeId="0" xr:uid="{00000000-0006-0000-0100-000002000000}">
      <text>
        <r>
          <rPr>
            <b/>
            <sz val="9"/>
            <color indexed="81"/>
            <rFont val="Segoe UI"/>
            <family val="2"/>
          </rPr>
          <t>depreciação total = 10 anos (artigo 305 do RIR/99) = 120 meses</t>
        </r>
      </text>
    </comment>
    <comment ref="G35" authorId="0" shapeId="0" xr:uid="{00000000-0006-0000-0100-000003000000}">
      <text>
        <r>
          <rPr>
            <b/>
            <sz val="9"/>
            <color indexed="81"/>
            <rFont val="Segoe UI"/>
            <family val="2"/>
          </rPr>
          <t>depreciação total = 10 anos (artigo 305 do RIR/99) = 120 meses</t>
        </r>
      </text>
    </comment>
    <comment ref="F39" authorId="0" shapeId="0" xr:uid="{BFEA9389-0E21-4E29-9EF7-4A331626ED52}">
      <text>
        <r>
          <rPr>
            <sz val="9"/>
            <color indexed="81"/>
            <rFont val="Segoe UI"/>
            <family val="2"/>
          </rPr>
          <t xml:space="preserve">Qtd posto x Numero func. (posto) x meses x ano
</t>
        </r>
      </text>
    </comment>
    <comment ref="G39" authorId="0" shapeId="0" xr:uid="{00000000-0006-0000-0100-000004000000}">
      <text>
        <r>
          <rPr>
            <sz val="9"/>
            <color indexed="81"/>
            <rFont val="Segoe UI"/>
            <family val="2"/>
          </rPr>
          <t xml:space="preserve">Qtd posto x Numero func. (posto) x meses x ano
</t>
        </r>
      </text>
    </comment>
  </commentList>
</comments>
</file>

<file path=xl/sharedStrings.xml><?xml version="1.0" encoding="utf-8"?>
<sst xmlns="http://schemas.openxmlformats.org/spreadsheetml/2006/main" count="3216" uniqueCount="271">
  <si>
    <t>Total Mensal</t>
  </si>
  <si>
    <t>Quantidade</t>
  </si>
  <si>
    <t>Valor Unitário</t>
  </si>
  <si>
    <t>RESUMO GERAL</t>
  </si>
  <si>
    <t>Subtotal</t>
  </si>
  <si>
    <t>Data base da categoria (dia/mês/ano)</t>
  </si>
  <si>
    <t>Salário Normativo da Categoria Profissional</t>
  </si>
  <si>
    <t>Município/UF</t>
  </si>
  <si>
    <t>Data de apresentação da proposta (dia/mês/ano)</t>
  </si>
  <si>
    <t>PLANILHA DE CUSTOS E FORMAÇÃO DE PREÇOS</t>
  </si>
  <si>
    <t>Discriminação dos Materiais</t>
  </si>
  <si>
    <t>Valor Total</t>
  </si>
  <si>
    <t>Durabilidade (meses)</t>
  </si>
  <si>
    <t>Depreciação mensal</t>
  </si>
  <si>
    <t>Total</t>
  </si>
  <si>
    <t xml:space="preserve">Nº Processo </t>
  </si>
  <si>
    <t xml:space="preserve">Licitação </t>
  </si>
  <si>
    <t>Discriminação dos Serviços (dados referentes à contratação)</t>
  </si>
  <si>
    <t xml:space="preserve">A </t>
  </si>
  <si>
    <t>B</t>
  </si>
  <si>
    <t>C</t>
  </si>
  <si>
    <t>Ano Acordo, Convenção ou Sentença Normativa em Dissídio Coletivo</t>
  </si>
  <si>
    <t>D</t>
  </si>
  <si>
    <t>Tipo de serviço</t>
  </si>
  <si>
    <t>Continuado</t>
  </si>
  <si>
    <t>E</t>
  </si>
  <si>
    <t>Unidade de medida</t>
  </si>
  <si>
    <t>F</t>
  </si>
  <si>
    <t>Quantidade (total) a contratar (em função da unidade de medida)</t>
  </si>
  <si>
    <t>G</t>
  </si>
  <si>
    <t>Nº de meses de execução contratual</t>
  </si>
  <si>
    <t>Mão-de-obra</t>
  </si>
  <si>
    <t>Módulo de Mão-de-obra vinculada à execução contratual Unidade de medida - tipos e quantidades</t>
  </si>
  <si>
    <t>Tipo de serviço (mesmo serviço com características distintas)</t>
  </si>
  <si>
    <t>Classificação Brasileira de Ocupações</t>
  </si>
  <si>
    <t>Dados complementares para composição dos custos referente à mão-de-obra</t>
  </si>
  <si>
    <t>Categoria profissional (vinculada à execução contratual)</t>
  </si>
  <si>
    <t>MÓDULO 1: COMPOSIÇÃO DA REMUNERAÇÃO</t>
  </si>
  <si>
    <t>Composição da remuneração</t>
  </si>
  <si>
    <t>Valor (R$)</t>
  </si>
  <si>
    <t>A</t>
  </si>
  <si>
    <t>Adicional de insalubridade</t>
  </si>
  <si>
    <t>Outros (especificar)</t>
  </si>
  <si>
    <t>Total da Remuneração</t>
  </si>
  <si>
    <t>MÓDULO 2: ENCARGOS E BENEFÍCIOS ANUAIS, MENSAIS E DIÁRIOS</t>
  </si>
  <si>
    <t xml:space="preserve">2.1 </t>
  </si>
  <si>
    <t>13º (décimo terceiro) Salário, Férias e Adicional de Férias</t>
  </si>
  <si>
    <t>%</t>
  </si>
  <si>
    <t>13º (décimo terceiro) Salário</t>
  </si>
  <si>
    <t>2.2</t>
  </si>
  <si>
    <t>GPS, FGTS e outras contribuições</t>
  </si>
  <si>
    <t>INSS</t>
  </si>
  <si>
    <t>Salário Educação</t>
  </si>
  <si>
    <t>SEBRAE</t>
  </si>
  <si>
    <t>INCRA</t>
  </si>
  <si>
    <t>H</t>
  </si>
  <si>
    <t>FGTS</t>
  </si>
  <si>
    <t xml:space="preserve">2.3 </t>
  </si>
  <si>
    <t>Benefícios Mensais e Diários</t>
  </si>
  <si>
    <t>Valor unitário</t>
  </si>
  <si>
    <t>Transporte</t>
  </si>
  <si>
    <t>Auxílio-Refeição/Alimentação</t>
  </si>
  <si>
    <t>Total de Encargos e Benefícios</t>
  </si>
  <si>
    <t>Quadro-Resumo - Módulo 2 - Encargos e Benefícios Anuais, Mensais e Diários</t>
  </si>
  <si>
    <t>2.1</t>
  </si>
  <si>
    <t>2.3</t>
  </si>
  <si>
    <t>Incidência dos encargos do submódulo 2.2 sobre o Aviso Prévio Trabalhado</t>
  </si>
  <si>
    <t>Total de Provisão para Rescisão</t>
  </si>
  <si>
    <t>MÓDULO 4 - CUSTO DE REPOSIÇÃO DO PROFISSIONAL AUSENTE</t>
  </si>
  <si>
    <t>4.1</t>
  </si>
  <si>
    <t>Substituto - Cobertura Férias</t>
  </si>
  <si>
    <t>Substituto - Cobertura Licença-Paternidade</t>
  </si>
  <si>
    <t>Substituto - Cobertura Afastamento Maternidade</t>
  </si>
  <si>
    <t>MÓDULO 5 - INSUMOS DIVERSOS</t>
  </si>
  <si>
    <t>Total de Insumos Diversos</t>
  </si>
  <si>
    <t>TOTAL PARCIAL: MÓDULO 1 + 2 + 3 + 4+ 5</t>
  </si>
  <si>
    <t>MÓDULO 6 - CUSTOS DIRETOS, TRIBUTOS E LUCRO</t>
  </si>
  <si>
    <t>Custos Indiretos, Tributos e Lucro</t>
  </si>
  <si>
    <t>Custos Indiretos</t>
  </si>
  <si>
    <t>Lucro</t>
  </si>
  <si>
    <t>Tributos</t>
  </si>
  <si>
    <t>PIS</t>
  </si>
  <si>
    <t>COFINS</t>
  </si>
  <si>
    <t>Total de Tributos</t>
  </si>
  <si>
    <t>Total de Custos Indiretos, Tributos e Lucro</t>
  </si>
  <si>
    <t>QUADRO-RESUMO DO CUSTO MENSAL POR EMPREGADO</t>
  </si>
  <si>
    <t xml:space="preserve">Mão de obra vinculada à execução contratual </t>
  </si>
  <si>
    <t>Módulo 1 - Composição da Remuneração</t>
  </si>
  <si>
    <t>Módulo 2 - Encargos e Benefícios Anuais, Mensais e Diários</t>
  </si>
  <si>
    <t>Módulo 3 - Provisão para Rescisão</t>
  </si>
  <si>
    <t>Módulo 4 - Custo de Reposição do Profissional Ausente</t>
  </si>
  <si>
    <t>Módulo 5 - Insumos Diversos</t>
  </si>
  <si>
    <t>Subtotal (A + B +C+ D+E)</t>
  </si>
  <si>
    <t xml:space="preserve">F </t>
  </si>
  <si>
    <t>Módulo 6 – Custos Indiretos, Tributos e Lucro</t>
  </si>
  <si>
    <t>Valor Total Mensal por Empregado</t>
  </si>
  <si>
    <t>xx/xx/xxxx</t>
  </si>
  <si>
    <t>B1</t>
  </si>
  <si>
    <t>Desconto empregado</t>
  </si>
  <si>
    <t xml:space="preserve">ANEXO IV  </t>
  </si>
  <si>
    <t>Quadro-resumo – VALOR MENSAL DOS SERVIÇOS</t>
  </si>
  <si>
    <t>TOTAL</t>
  </si>
  <si>
    <t>Montante dos depósitos realizado nos meses de serviços prestados</t>
  </si>
  <si>
    <t>Substituto - Cobertura Ausências Legais</t>
  </si>
  <si>
    <t>Substituto - Cobertura ausência por doenças</t>
  </si>
  <si>
    <t>Substituto - Cobertura Acidente de trabalho</t>
  </si>
  <si>
    <t>Cinto</t>
  </si>
  <si>
    <t>Valor Un.</t>
  </si>
  <si>
    <t>MÓDULO 5  - COMPOSIÇÃO VALOR MENSAL</t>
  </si>
  <si>
    <t>Camisa - longa</t>
  </si>
  <si>
    <t>camiseta - curta</t>
  </si>
  <si>
    <t xml:space="preserve">Calça </t>
  </si>
  <si>
    <t>Local</t>
  </si>
  <si>
    <t>Nº de Funcionários por posto</t>
  </si>
  <si>
    <t>SAT - Seg. acid. de trabalho (Cálculo=RATxFAP)</t>
  </si>
  <si>
    <t>Discriminação do Serviçpo</t>
  </si>
  <si>
    <t>Valor Anual</t>
  </si>
  <si>
    <t>(meses)</t>
  </si>
  <si>
    <t>Amortização mensal</t>
  </si>
  <si>
    <t>PPRA e PCMSO</t>
  </si>
  <si>
    <t>B.1</t>
  </si>
  <si>
    <t>Venda de Férias</t>
  </si>
  <si>
    <t>Substituto para Faltas Injustificáveis</t>
  </si>
  <si>
    <t>4.2</t>
  </si>
  <si>
    <t>Férias</t>
  </si>
  <si>
    <t>Demais Ausências</t>
  </si>
  <si>
    <t>MÓDULO 3 - CUSTOS COM RESCISÃO</t>
  </si>
  <si>
    <t>Venda de Férias (Módulo 2.1-B-1)</t>
  </si>
  <si>
    <t>A.1</t>
  </si>
  <si>
    <t>3.1</t>
  </si>
  <si>
    <t>Provisão para Aviso Prévio Indenizado</t>
  </si>
  <si>
    <t>Valor do período de Trabalho Indenizado devido</t>
  </si>
  <si>
    <t>Σ</t>
  </si>
  <si>
    <t>Remuneração (30 dias + acréscimo 3 dias/ano)</t>
  </si>
  <si>
    <t>13º Salário proporcional ao Mês Indenizado</t>
  </si>
  <si>
    <t>Férias + 1/3 proporcionais ao Mês Indenizado</t>
  </si>
  <si>
    <t>FGTS do Mês Indenizado (Rem. + 13º)</t>
  </si>
  <si>
    <t>Multa do FGTS sobre o Aviso Prévio Indenizado</t>
  </si>
  <si>
    <t>Incidência do FGTS sobre o montante de depósitos</t>
  </si>
  <si>
    <t>Remuneração</t>
  </si>
  <si>
    <t>13º Salário integral</t>
  </si>
  <si>
    <t>Férias + 1/3 constitucional (usufruídas)</t>
  </si>
  <si>
    <t>A.2</t>
  </si>
  <si>
    <t>A.3</t>
  </si>
  <si>
    <t>A.4</t>
  </si>
  <si>
    <t>B.1.1</t>
  </si>
  <si>
    <t>B.1.1.1</t>
  </si>
  <si>
    <t>B.1.1.2</t>
  </si>
  <si>
    <t>B.1.1.3</t>
  </si>
  <si>
    <t>+ 7 dias ( parágrafo único do art. 488 da CLT)</t>
  </si>
  <si>
    <t>Remuneração (30 dias)</t>
  </si>
  <si>
    <t>13º Salário proporcional</t>
  </si>
  <si>
    <t>Férias + 1/3 proporcionais</t>
  </si>
  <si>
    <t>Submódulo 2.3 (Benefícios mensais) referente ao mês trabalhado</t>
  </si>
  <si>
    <t>Provisão para Aviso Prévio Trabalhado</t>
  </si>
  <si>
    <t>3.2</t>
  </si>
  <si>
    <t>A.5</t>
  </si>
  <si>
    <t>Quadro-Resumo - Módulo 4 - CRPA</t>
  </si>
  <si>
    <t>SubTotal</t>
  </si>
  <si>
    <t>Férias proporcionais da rescisão (sem incidência de FGTS)</t>
  </si>
  <si>
    <t>3.3</t>
  </si>
  <si>
    <t>Quadro-Resumo - Módulo 3 - CUSTO COM RESCISÃO</t>
  </si>
  <si>
    <t>Férias proporcionais devidas</t>
  </si>
  <si>
    <t>1/3 Consitucional de férias proporcionais devidos</t>
  </si>
  <si>
    <t>SubTotal de Custo proporcional para Rescisão</t>
  </si>
  <si>
    <t>Férias proporcionais das verbas rescisórias (sem incidência de FGTS)</t>
  </si>
  <si>
    <t xml:space="preserve"> Férias indenizadas por venda - sem incidência de FGTS</t>
  </si>
  <si>
    <t>Prêmio Assiduidade Cláusula 11ª da CCT 2021</t>
  </si>
  <si>
    <t>A - FARDAMENTO (CLÁUSULA QUADRAGÉSIMA QUINTA DA CCT)</t>
  </si>
  <si>
    <t>CATMAT</t>
  </si>
  <si>
    <t>“quepe” ou “bico-de-pato” (Parágrafo Segundo)</t>
  </si>
  <si>
    <t>Jaqueta ou Japona (Parágrafo Primeiro)</t>
  </si>
  <si>
    <t>SISTEMA RONDA ELETRONICA (bastão/caneta)</t>
  </si>
  <si>
    <t>150489        ou                27</t>
  </si>
  <si>
    <t>Sapato/Coturno (Parágrafo Terceiro)</t>
  </si>
  <si>
    <t>Gasto mensal</t>
  </si>
  <si>
    <t>Capa para o colete (masculino ou feminino)</t>
  </si>
  <si>
    <t>Armamento - revólver calibre .38</t>
  </si>
  <si>
    <t>Munições - cartuchos de munições calibre.38</t>
  </si>
  <si>
    <t>Livro de ocorrência</t>
  </si>
  <si>
    <t>Cofre de armas com cadeado (caso empresa diferente - verificar cofre da PF)</t>
  </si>
  <si>
    <t>Apito e cordão de apito</t>
  </si>
  <si>
    <t>Lanterna e pilhas para lanterna</t>
  </si>
  <si>
    <t>B - MATERIAIS DE APOIO</t>
  </si>
  <si>
    <t>Cassetete/Tonfa</t>
  </si>
  <si>
    <t>Porta Cassetete</t>
  </si>
  <si>
    <t>Colete a prova de balas - PORTARIA NORMATIVA Nº 14/MD, DE 23 DE MARÇO DE 2018</t>
  </si>
  <si>
    <t>Meia longa</t>
  </si>
  <si>
    <t>Adequação e Costura (vigência do contrato)  -SERVIÇO</t>
  </si>
  <si>
    <t>Crachá -  SERVIÇO</t>
  </si>
  <si>
    <t>C - PPRA e PCMSO</t>
  </si>
  <si>
    <t>Valor / func.</t>
  </si>
  <si>
    <t>Controle de Jornada - Telefone celular</t>
  </si>
  <si>
    <t>Controle de Jornada - Ponto biométrico</t>
  </si>
  <si>
    <t>Provisão Mensal</t>
  </si>
  <si>
    <t>Proporção desligamentos com custos (vigência do contrato)</t>
  </si>
  <si>
    <t>Remuniciador (Jet loader)</t>
  </si>
  <si>
    <t>Adicional de Férias</t>
  </si>
  <si>
    <t>xx/2021-200370</t>
  </si>
  <si>
    <t>Posto</t>
  </si>
  <si>
    <t>5173-30</t>
  </si>
  <si>
    <t>Vigilante</t>
  </si>
  <si>
    <t>Vigilante (12x36 DIURNO)</t>
  </si>
  <si>
    <t>Localidade</t>
  </si>
  <si>
    <t>Vigilante 12x36 NOTURNO (2 func/posto)</t>
  </si>
  <si>
    <t>Florianópolis (SR)</t>
  </si>
  <si>
    <t>Item</t>
  </si>
  <si>
    <t>Tipo de Servio</t>
  </si>
  <si>
    <t>Florianópolis (NEPOM)</t>
  </si>
  <si>
    <t>Itajaí (IJI)</t>
  </si>
  <si>
    <t>Joinville (JVE)</t>
  </si>
  <si>
    <t>Criciúma (CCM)</t>
  </si>
  <si>
    <t>Lages (LGE)</t>
  </si>
  <si>
    <t>Chapecó (XAP)</t>
  </si>
  <si>
    <t>Dionísio Cerqueira (DCQ)</t>
  </si>
  <si>
    <t>Qtde Item (meses) [D]</t>
  </si>
  <si>
    <t>TOTAL ANUAL [E = C * D]</t>
  </si>
  <si>
    <t>Valor Mensal [C = A x B]</t>
  </si>
  <si>
    <t>Qtde postos [B]</t>
  </si>
  <si>
    <t>Valor Unitário do Item [A]</t>
  </si>
  <si>
    <t xml:space="preserve">  </t>
  </si>
  <si>
    <t>08490.000657/2022-28</t>
  </si>
  <si>
    <t>SC000329/2022</t>
  </si>
  <si>
    <t>Adicional de periculosidade - Lei nº 12.740/2012</t>
  </si>
  <si>
    <t>Salário Base (Quantidade de dias)</t>
  </si>
  <si>
    <t>Intervalo Intrajornada (Quantidade de horas/dia x quantidade de dias)</t>
  </si>
  <si>
    <t>Adicional Noturno</t>
  </si>
  <si>
    <t>Adicional de hora noturna reduzida</t>
  </si>
  <si>
    <t>Benefício de Assistência ao Trabalhador (Cláusula 17ª da CCT)</t>
  </si>
  <si>
    <t>Contribuição Sindicato Patronal  (Cláusula 51ª da CCT)</t>
  </si>
  <si>
    <r>
      <t xml:space="preserve">Vigilante 12x36 </t>
    </r>
    <r>
      <rPr>
        <sz val="12"/>
        <color theme="4" tint="-0.249977111117893"/>
        <rFont val="Times New Roman"/>
        <family val="1"/>
      </rPr>
      <t>DIURNO</t>
    </r>
    <r>
      <rPr>
        <sz val="12"/>
        <color rgb="FF000000"/>
        <rFont val="Times New Roman"/>
        <family val="1"/>
      </rPr>
      <t xml:space="preserve"> (2 func/posto)</t>
    </r>
  </si>
  <si>
    <r>
      <t xml:space="preserve">Vigilante </t>
    </r>
    <r>
      <rPr>
        <sz val="12"/>
        <color theme="9" tint="-0.249977111117893"/>
        <rFont val="Times New Roman"/>
        <family val="1"/>
      </rPr>
      <t>44 horas semanais</t>
    </r>
    <r>
      <rPr>
        <sz val="12"/>
        <color rgb="FF000000"/>
        <rFont val="Times New Roman"/>
        <family val="1"/>
      </rPr>
      <t xml:space="preserve"> (1 func/posto)</t>
    </r>
  </si>
  <si>
    <t>SESC</t>
  </si>
  <si>
    <t>SENAC</t>
  </si>
  <si>
    <t>Valor por posto</t>
  </si>
  <si>
    <t>TOTAL POR VIGILANTE</t>
  </si>
  <si>
    <t>Nº Vigilantes/posto</t>
  </si>
  <si>
    <t>Nº Vigilantes por localidade</t>
  </si>
  <si>
    <t>ISS - Florianópolis</t>
  </si>
  <si>
    <t>Tipo do posto</t>
  </si>
  <si>
    <t>44 horas</t>
  </si>
  <si>
    <t>12x36</t>
  </si>
  <si>
    <t>Salário Base (Quantidade de horas/mês)</t>
  </si>
  <si>
    <t>Intervalo Intrajornada</t>
  </si>
  <si>
    <t>Vigilante (44 Horas semanais)</t>
  </si>
  <si>
    <t>Salário Base (Quantidade hora/mês)</t>
  </si>
  <si>
    <t>Adicional de hora noturna reduzida [valor da hora reduzida (7min e 30s = 12,5%) x 7 horas nortunas/dia x qtd dias]</t>
  </si>
  <si>
    <t>Adicional Noturno [valor da hora noturna (20%) x 7 horas nortunas/dia x qtd dias]</t>
  </si>
  <si>
    <t>Insumos</t>
  </si>
  <si>
    <t>Fardamento</t>
  </si>
  <si>
    <t>VALOR TOTAL</t>
  </si>
  <si>
    <t>ISS - Itajaí</t>
  </si>
  <si>
    <r>
      <rPr>
        <b/>
        <sz val="11"/>
        <color rgb="FFFF0000"/>
        <rFont val="Franklin Gothic Book"/>
        <family val="2"/>
      </rPr>
      <t>Itajaí</t>
    </r>
    <r>
      <rPr>
        <sz val="11"/>
        <color rgb="FF000000"/>
        <rFont val="Franklin Gothic Book"/>
        <family val="2"/>
      </rPr>
      <t xml:space="preserve"> - Santa Catarina</t>
    </r>
  </si>
  <si>
    <t>Vigilante (12x36 NOTURNO)</t>
  </si>
  <si>
    <r>
      <rPr>
        <b/>
        <sz val="11"/>
        <color rgb="FFFF0000"/>
        <rFont val="Franklin Gothic Book"/>
        <family val="2"/>
      </rPr>
      <t>Joinville</t>
    </r>
    <r>
      <rPr>
        <sz val="11"/>
        <color rgb="FF000000"/>
        <rFont val="Franklin Gothic Book"/>
        <family val="2"/>
      </rPr>
      <t xml:space="preserve"> - Santa Catarina</t>
    </r>
  </si>
  <si>
    <t>ISS - Joinville</t>
  </si>
  <si>
    <r>
      <rPr>
        <b/>
        <sz val="11"/>
        <color rgb="FFFF0000"/>
        <rFont val="Franklin Gothic Book"/>
        <family val="2"/>
      </rPr>
      <t>Criciúma</t>
    </r>
    <r>
      <rPr>
        <sz val="11"/>
        <color rgb="FF000000"/>
        <rFont val="Franklin Gothic Book"/>
        <family val="2"/>
      </rPr>
      <t xml:space="preserve"> - Santa Catarina</t>
    </r>
  </si>
  <si>
    <t>ISS - Criciúma</t>
  </si>
  <si>
    <t>ISS - Lages</t>
  </si>
  <si>
    <r>
      <rPr>
        <b/>
        <sz val="11"/>
        <color rgb="FFFF0000"/>
        <rFont val="Franklin Gothic Book"/>
        <family val="2"/>
      </rPr>
      <t>Lages</t>
    </r>
    <r>
      <rPr>
        <sz val="11"/>
        <color rgb="FF000000"/>
        <rFont val="Franklin Gothic Book"/>
        <family val="2"/>
      </rPr>
      <t xml:space="preserve"> - Santa Catarina</t>
    </r>
  </si>
  <si>
    <r>
      <rPr>
        <b/>
        <sz val="11"/>
        <color rgb="FFFF0000"/>
        <rFont val="Franklin Gothic Book"/>
        <family val="2"/>
      </rPr>
      <t>Chapecó</t>
    </r>
    <r>
      <rPr>
        <sz val="11"/>
        <color rgb="FF000000"/>
        <rFont val="Franklin Gothic Book"/>
        <family val="2"/>
      </rPr>
      <t xml:space="preserve"> - Santa Catarina</t>
    </r>
  </si>
  <si>
    <t>ISS - Chapecó</t>
  </si>
  <si>
    <t>ISS - Dionísio Cerqueira</t>
  </si>
  <si>
    <r>
      <rPr>
        <b/>
        <sz val="11"/>
        <color rgb="FFFF0000"/>
        <rFont val="Franklin Gothic Book"/>
        <family val="2"/>
      </rPr>
      <t>Dionísio Cerqueira</t>
    </r>
    <r>
      <rPr>
        <sz val="11"/>
        <color rgb="FF000000"/>
        <rFont val="Franklin Gothic Book"/>
        <family val="2"/>
      </rPr>
      <t xml:space="preserve"> - Santa Catarina</t>
    </r>
  </si>
  <si>
    <r>
      <rPr>
        <b/>
        <sz val="11"/>
        <color rgb="FF000000"/>
        <rFont val="Franklin Gothic Book"/>
        <family val="2"/>
      </rPr>
      <t>Florianópolis</t>
    </r>
    <r>
      <rPr>
        <sz val="11"/>
        <color rgb="FF000000"/>
        <rFont val="Franklin Gothic Book"/>
        <family val="2"/>
      </rPr>
      <t xml:space="preserve"> - Santa Catarina</t>
    </r>
  </si>
  <si>
    <t>SR (1)</t>
  </si>
  <si>
    <t>NEPOM (1)</t>
  </si>
  <si>
    <t>DELEGACIAS (6)</t>
  </si>
  <si>
    <r>
      <t>PCMSO e PPRA - SESMT</t>
    </r>
    <r>
      <rPr>
        <sz val="11"/>
        <rFont val="Franklin Gothic Book"/>
        <family val="2"/>
      </rPr>
      <t xml:space="preserve"> (valor conforme nº vigilante/</t>
    </r>
    <r>
      <rPr>
        <sz val="11"/>
        <color rgb="FF7030A0"/>
        <rFont val="Franklin Gothic Book"/>
        <family val="2"/>
      </rPr>
      <t>localidade</t>
    </r>
    <r>
      <rPr>
        <sz val="11"/>
        <rFont val="Franklin Gothic Book"/>
        <family val="2"/>
      </rPr>
      <t>)</t>
    </r>
    <r>
      <rPr>
        <sz val="11"/>
        <color rgb="FFFF0000"/>
        <rFont val="Franklin Gothic Book"/>
        <family val="2"/>
      </rPr>
      <t xml:space="preserve"> [FATO GERADOR]</t>
    </r>
  </si>
  <si>
    <r>
      <t>Materiais de apoio/Ferramentas (valor conforme nº vigilante/</t>
    </r>
    <r>
      <rPr>
        <sz val="11"/>
        <color rgb="FF7030A0"/>
        <rFont val="Franklin Gothic Book"/>
        <family val="2"/>
      </rPr>
      <t>posto</t>
    </r>
    <r>
      <rPr>
        <sz val="11"/>
        <color theme="1"/>
        <rFont val="Franklin Gothic Book"/>
        <family val="2"/>
      </rPr>
      <t>)</t>
    </r>
  </si>
  <si>
    <t>Multa do FGTS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</si>
</sst>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%"/>
    <numFmt numFmtId="165" formatCode="0.0000"/>
    <numFmt numFmtId="166" formatCode="&quot;R$&quot;\ #,##0.00"/>
    <numFmt numFmtId="167" formatCode="0.00000"/>
    <numFmt numFmtId="168" formatCode="0.0"/>
    <numFmt numFmtId="169" formatCode="_-&quot;R$&quot;\ * #,##0.00_-;\(\-&quot;R$&quot;\ * #,##0.00\);_-&quot;R$&quot;\ * &quot;-&quot;??_-;_-@_-"/>
    <numFmt numFmtId="170" formatCode="#,##0_ ;[Red]\-#,##0\ 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rgb="FF000000"/>
      <name val="Franklin Gothic Book"/>
      <family val="2"/>
    </font>
    <font>
      <sz val="11"/>
      <color theme="1"/>
      <name val="Franklin Gothic Book"/>
      <family val="2"/>
    </font>
    <font>
      <sz val="11"/>
      <color rgb="FF000000"/>
      <name val="Franklin Gothic Book"/>
      <family val="2"/>
    </font>
    <font>
      <b/>
      <sz val="11"/>
      <color theme="1"/>
      <name val="Franklin Gothic Book"/>
      <family val="2"/>
    </font>
    <font>
      <sz val="11"/>
      <name val="Franklin Gothic Book"/>
      <family val="2"/>
    </font>
    <font>
      <sz val="11"/>
      <color rgb="FFFF0000"/>
      <name val="Franklin Gothic Book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11"/>
      <color theme="1"/>
      <name val="Calibri"/>
      <family val="2"/>
      <scheme val="minor"/>
    </font>
    <font>
      <sz val="16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name val="Calibri"/>
      <family val="2"/>
      <scheme val="minor"/>
    </font>
    <font>
      <b/>
      <sz val="11"/>
      <name val="Franklin Gothic Book"/>
      <family val="2"/>
    </font>
    <font>
      <sz val="11"/>
      <color theme="2" tint="-0.249977111117893"/>
      <name val="Franklin Gothic Book"/>
      <family val="2"/>
    </font>
    <font>
      <sz val="11"/>
      <color rgb="FFFF0000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sz val="12"/>
      <color rgb="FF000000"/>
      <name val="Times New Roman"/>
      <family val="1"/>
    </font>
    <font>
      <sz val="12"/>
      <color theme="4" tint="-0.249977111117893"/>
      <name val="Times New Roman"/>
      <family val="1"/>
    </font>
    <font>
      <sz val="12"/>
      <color theme="9" tint="-0.249977111117893"/>
      <name val="Times New Roman"/>
      <family val="1"/>
    </font>
    <font>
      <b/>
      <sz val="11"/>
      <color rgb="FFFF0000"/>
      <name val="Franklin Gothic Book"/>
      <family val="2"/>
    </font>
    <font>
      <sz val="11"/>
      <color rgb="FF7030A0"/>
      <name val="Franklin Gothic Book"/>
      <family val="2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59999389629810485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/>
      <right style="thin">
        <color rgb="FF000000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</cellStyleXfs>
  <cellXfs count="330">
    <xf numFmtId="0" fontId="0" fillId="0" borderId="0" xfId="0"/>
    <xf numFmtId="0" fontId="0" fillId="8" borderId="0" xfId="0" applyFill="1"/>
    <xf numFmtId="0" fontId="14" fillId="9" borderId="5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166" fontId="15" fillId="2" borderId="5" xfId="0" applyNumberFormat="1" applyFont="1" applyFill="1" applyBorder="1" applyAlignment="1">
      <alignment horizontal="center" vertical="center" wrapText="1"/>
    </xf>
    <xf numFmtId="1" fontId="14" fillId="9" borderId="16" xfId="0" applyNumberFormat="1" applyFont="1" applyFill="1" applyBorder="1" applyAlignment="1">
      <alignment horizontal="center" vertical="center" wrapText="1"/>
    </xf>
    <xf numFmtId="0" fontId="0" fillId="8" borderId="0" xfId="0" applyFill="1" applyProtection="1"/>
    <xf numFmtId="8" fontId="0" fillId="8" borderId="0" xfId="0" applyNumberFormat="1" applyFill="1" applyProtection="1"/>
    <xf numFmtId="0" fontId="0" fillId="0" borderId="1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44" fontId="0" fillId="8" borderId="0" xfId="0" applyNumberFormat="1" applyFill="1" applyProtection="1"/>
    <xf numFmtId="0" fontId="0" fillId="8" borderId="0" xfId="0" applyFill="1" applyAlignment="1" applyProtection="1">
      <alignment horizontal="center" vertical="center"/>
    </xf>
    <xf numFmtId="166" fontId="15" fillId="9" borderId="5" xfId="0" applyNumberFormat="1" applyFont="1" applyFill="1" applyBorder="1" applyAlignment="1">
      <alignment horizontal="center" vertical="center" wrapText="1"/>
    </xf>
    <xf numFmtId="167" fontId="0" fillId="8" borderId="0" xfId="0" applyNumberFormat="1" applyFill="1" applyProtection="1"/>
    <xf numFmtId="166" fontId="0" fillId="8" borderId="0" xfId="0" applyNumberFormat="1" applyFill="1"/>
    <xf numFmtId="0" fontId="0" fillId="0" borderId="33" xfId="0" applyBorder="1" applyAlignment="1" applyProtection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4" fillId="4" borderId="0" xfId="0" applyFont="1" applyFill="1" applyProtection="1"/>
    <xf numFmtId="0" fontId="4" fillId="0" borderId="0" xfId="0" applyFont="1" applyProtection="1"/>
    <xf numFmtId="0" fontId="5" fillId="0" borderId="4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left" vertical="center" wrapText="1"/>
    </xf>
    <xf numFmtId="0" fontId="7" fillId="0" borderId="1" xfId="0" applyFont="1" applyBorder="1" applyAlignment="1" applyProtection="1">
      <alignment vertical="center"/>
    </xf>
    <xf numFmtId="44" fontId="5" fillId="0" borderId="1" xfId="2" applyFont="1" applyBorder="1" applyAlignment="1" applyProtection="1">
      <alignment horizontal="right" vertical="center"/>
    </xf>
    <xf numFmtId="9" fontId="5" fillId="0" borderId="1" xfId="0" applyNumberFormat="1" applyFont="1" applyBorder="1" applyAlignment="1" applyProtection="1">
      <alignment horizontal="center" vertical="center"/>
    </xf>
    <xf numFmtId="1" fontId="5" fillId="0" borderId="1" xfId="0" applyNumberFormat="1" applyFont="1" applyBorder="1" applyAlignment="1" applyProtection="1">
      <alignment horizontal="center" vertical="center"/>
    </xf>
    <xf numFmtId="44" fontId="5" fillId="0" borderId="1" xfId="2" applyFont="1" applyBorder="1" applyAlignment="1" applyProtection="1">
      <alignment vertical="center"/>
    </xf>
    <xf numFmtId="44" fontId="3" fillId="3" borderId="1" xfId="2" applyFont="1" applyFill="1" applyBorder="1" applyAlignment="1" applyProtection="1">
      <alignment vertical="center"/>
    </xf>
    <xf numFmtId="8" fontId="3" fillId="3" borderId="1" xfId="0" applyNumberFormat="1" applyFont="1" applyFill="1" applyBorder="1" applyAlignment="1" applyProtection="1">
      <alignment horizontal="center" vertical="center"/>
    </xf>
    <xf numFmtId="8" fontId="3" fillId="3" borderId="1" xfId="0" applyNumberFormat="1" applyFont="1" applyFill="1" applyBorder="1" applyAlignment="1" applyProtection="1">
      <alignment horizontal="left" vertical="center"/>
    </xf>
    <xf numFmtId="8" fontId="5" fillId="0" borderId="1" xfId="0" applyNumberFormat="1" applyFont="1" applyBorder="1" applyAlignment="1" applyProtection="1">
      <alignment horizontal="center" vertical="center"/>
    </xf>
    <xf numFmtId="8" fontId="5" fillId="0" borderId="1" xfId="0" applyNumberFormat="1" applyFont="1" applyBorder="1" applyAlignment="1" applyProtection="1">
      <alignment horizontal="left" vertical="center"/>
    </xf>
    <xf numFmtId="10" fontId="5" fillId="2" borderId="1" xfId="3" applyNumberFormat="1" applyFont="1" applyFill="1" applyBorder="1" applyAlignment="1" applyProtection="1">
      <alignment horizontal="center" vertical="center"/>
    </xf>
    <xf numFmtId="8" fontId="5" fillId="0" borderId="1" xfId="0" applyNumberFormat="1" applyFont="1" applyBorder="1" applyAlignment="1" applyProtection="1">
      <alignment horizontal="right" vertical="center"/>
    </xf>
    <xf numFmtId="10" fontId="3" fillId="3" borderId="1" xfId="3" applyNumberFormat="1" applyFont="1" applyFill="1" applyBorder="1" applyAlignment="1" applyProtection="1">
      <alignment horizontal="center" vertical="center"/>
    </xf>
    <xf numFmtId="44" fontId="3" fillId="3" borderId="1" xfId="2" applyFont="1" applyFill="1" applyBorder="1" applyAlignment="1" applyProtection="1">
      <alignment horizontal="right" vertical="center"/>
    </xf>
    <xf numFmtId="8" fontId="3" fillId="3" borderId="4" xfId="0" applyNumberFormat="1" applyFont="1" applyFill="1" applyBorder="1" applyAlignment="1" applyProtection="1">
      <alignment horizontal="left" vertical="center"/>
    </xf>
    <xf numFmtId="8" fontId="3" fillId="3" borderId="1" xfId="0" applyNumberFormat="1" applyFont="1" applyFill="1" applyBorder="1" applyAlignment="1" applyProtection="1">
      <alignment horizontal="right" vertical="center"/>
    </xf>
    <xf numFmtId="0" fontId="4" fillId="0" borderId="1" xfId="0" applyFont="1" applyBorder="1" applyAlignment="1" applyProtection="1">
      <alignment vertical="center" wrapText="1"/>
    </xf>
    <xf numFmtId="10" fontId="7" fillId="2" borderId="6" xfId="5" applyNumberFormat="1" applyFont="1" applyFill="1" applyBorder="1" applyAlignment="1" applyProtection="1">
      <alignment horizontal="center" vertical="center"/>
    </xf>
    <xf numFmtId="10" fontId="3" fillId="3" borderId="2" xfId="3" applyNumberFormat="1" applyFont="1" applyFill="1" applyBorder="1" applyAlignment="1" applyProtection="1">
      <alignment horizontal="center" vertical="center"/>
    </xf>
    <xf numFmtId="44" fontId="3" fillId="3" borderId="1" xfId="2" applyFont="1" applyFill="1" applyBorder="1" applyAlignment="1" applyProtection="1">
      <alignment horizontal="center" vertical="center"/>
    </xf>
    <xf numFmtId="44" fontId="5" fillId="2" borderId="2" xfId="2" applyFont="1" applyFill="1" applyBorder="1" applyAlignment="1" applyProtection="1">
      <alignment horizontal="center" vertical="center"/>
    </xf>
    <xf numFmtId="44" fontId="4" fillId="0" borderId="1" xfId="2" applyFont="1" applyBorder="1" applyAlignment="1" applyProtection="1">
      <alignment horizontal="right" vertical="center"/>
    </xf>
    <xf numFmtId="10" fontId="5" fillId="0" borderId="2" xfId="3" applyNumberFormat="1" applyFont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left" vertical="center" wrapText="1"/>
    </xf>
    <xf numFmtId="44" fontId="5" fillId="2" borderId="1" xfId="0" applyNumberFormat="1" applyFont="1" applyFill="1" applyBorder="1" applyAlignment="1" applyProtection="1">
      <alignment horizontal="right" vertical="center"/>
    </xf>
    <xf numFmtId="0" fontId="5" fillId="2" borderId="1" xfId="0" applyFont="1" applyFill="1" applyBorder="1" applyAlignment="1" applyProtection="1">
      <alignment horizontal="right" vertical="center"/>
    </xf>
    <xf numFmtId="0" fontId="5" fillId="2" borderId="1" xfId="0" applyFont="1" applyFill="1" applyBorder="1" applyAlignment="1" applyProtection="1">
      <alignment horizontal="center" vertical="center" wrapText="1"/>
    </xf>
    <xf numFmtId="44" fontId="7" fillId="2" borderId="1" xfId="0" applyNumberFormat="1" applyFont="1" applyFill="1" applyBorder="1" applyAlignment="1" applyProtection="1">
      <alignment horizontal="right" vertical="center"/>
    </xf>
    <xf numFmtId="9" fontId="5" fillId="2" borderId="1" xfId="0" applyNumberFormat="1" applyFont="1" applyFill="1" applyBorder="1" applyAlignment="1" applyProtection="1">
      <alignment horizontal="center" vertical="center"/>
    </xf>
    <xf numFmtId="10" fontId="5" fillId="2" borderId="1" xfId="0" applyNumberFormat="1" applyFont="1" applyFill="1" applyBorder="1" applyAlignment="1" applyProtection="1">
      <alignment horizontal="center" vertical="center"/>
    </xf>
    <xf numFmtId="0" fontId="7" fillId="2" borderId="1" xfId="0" applyFont="1" applyFill="1" applyBorder="1" applyAlignment="1" applyProtection="1">
      <alignment horizontal="left" vertical="center" wrapText="1"/>
    </xf>
    <xf numFmtId="0" fontId="7" fillId="2" borderId="1" xfId="0" applyFont="1" applyFill="1" applyBorder="1" applyAlignment="1" applyProtection="1">
      <alignment horizontal="center" vertical="center"/>
    </xf>
    <xf numFmtId="1" fontId="5" fillId="2" borderId="1" xfId="0" applyNumberFormat="1" applyFont="1" applyFill="1" applyBorder="1" applyAlignment="1" applyProtection="1">
      <alignment horizontal="center" vertical="center"/>
    </xf>
    <xf numFmtId="168" fontId="5" fillId="2" borderId="1" xfId="0" applyNumberFormat="1" applyFont="1" applyFill="1" applyBorder="1" applyAlignment="1" applyProtection="1">
      <alignment horizontal="center" vertical="center"/>
    </xf>
    <xf numFmtId="10" fontId="7" fillId="2" borderId="1" xfId="0" applyNumberFormat="1" applyFont="1" applyFill="1" applyBorder="1" applyAlignment="1" applyProtection="1">
      <alignment horizontal="center" vertical="center"/>
    </xf>
    <xf numFmtId="0" fontId="7" fillId="2" borderId="1" xfId="0" applyFont="1" applyFill="1" applyBorder="1" applyAlignment="1" applyProtection="1">
      <alignment horizontal="center" vertical="center" wrapText="1"/>
    </xf>
    <xf numFmtId="164" fontId="7" fillId="2" borderId="1" xfId="0" applyNumberFormat="1" applyFont="1" applyFill="1" applyBorder="1" applyAlignment="1" applyProtection="1">
      <alignment horizontal="center" vertical="center"/>
    </xf>
    <xf numFmtId="0" fontId="7" fillId="2" borderId="1" xfId="0" applyNumberFormat="1" applyFont="1" applyFill="1" applyBorder="1" applyAlignment="1" applyProtection="1">
      <alignment horizontal="center" vertical="center"/>
    </xf>
    <xf numFmtId="0" fontId="8" fillId="4" borderId="0" xfId="0" applyFont="1" applyFill="1" applyProtection="1"/>
    <xf numFmtId="44" fontId="5" fillId="2" borderId="1" xfId="2" applyFont="1" applyFill="1" applyBorder="1" applyAlignment="1" applyProtection="1">
      <alignment horizontal="right" vertical="center"/>
    </xf>
    <xf numFmtId="0" fontId="4" fillId="0" borderId="1" xfId="0" applyFont="1" applyBorder="1" applyAlignment="1" applyProtection="1">
      <alignment horizontal="left" vertical="center" wrapText="1"/>
    </xf>
    <xf numFmtId="44" fontId="5" fillId="0" borderId="2" xfId="3" applyNumberFormat="1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left" vertical="center"/>
    </xf>
    <xf numFmtId="10" fontId="5" fillId="0" borderId="1" xfId="3" applyNumberFormat="1" applyFont="1" applyBorder="1" applyAlignment="1" applyProtection="1">
      <alignment horizontal="center" vertical="center"/>
    </xf>
    <xf numFmtId="44" fontId="5" fillId="12" borderId="1" xfId="0" applyNumberFormat="1" applyFont="1" applyFill="1" applyBorder="1" applyAlignment="1" applyProtection="1">
      <alignment horizontal="right" vertical="center"/>
    </xf>
    <xf numFmtId="8" fontId="3" fillId="3" borderId="1" xfId="2" applyNumberFormat="1" applyFont="1" applyFill="1" applyBorder="1" applyAlignment="1" applyProtection="1">
      <alignment horizontal="right" vertical="center"/>
    </xf>
    <xf numFmtId="10" fontId="5" fillId="2" borderId="2" xfId="3" applyNumberFormat="1" applyFont="1" applyFill="1" applyBorder="1" applyAlignment="1" applyProtection="1">
      <alignment horizontal="center" vertical="center"/>
    </xf>
    <xf numFmtId="165" fontId="4" fillId="4" borderId="0" xfId="0" applyNumberFormat="1" applyFont="1" applyFill="1" applyProtection="1"/>
    <xf numFmtId="8" fontId="5" fillId="0" borderId="3" xfId="0" applyNumberFormat="1" applyFont="1" applyBorder="1" applyAlignment="1" applyProtection="1">
      <alignment horizontal="right" vertical="center"/>
    </xf>
    <xf numFmtId="44" fontId="7" fillId="2" borderId="1" xfId="2" applyNumberFormat="1" applyFont="1" applyFill="1" applyBorder="1" applyAlignment="1" applyProtection="1">
      <alignment horizontal="right" vertical="center"/>
    </xf>
    <xf numFmtId="10" fontId="5" fillId="2" borderId="2" xfId="3" applyNumberFormat="1" applyFont="1" applyFill="1" applyBorder="1" applyAlignment="1" applyProtection="1">
      <alignment vertical="center"/>
    </xf>
    <xf numFmtId="10" fontId="5" fillId="0" borderId="1" xfId="3" applyNumberFormat="1" applyFont="1" applyBorder="1" applyAlignment="1" applyProtection="1">
      <alignment vertical="center"/>
    </xf>
    <xf numFmtId="10" fontId="3" fillId="3" borderId="1" xfId="3" applyNumberFormat="1" applyFont="1" applyFill="1" applyBorder="1" applyAlignment="1" applyProtection="1">
      <alignment vertical="center"/>
    </xf>
    <xf numFmtId="0" fontId="3" fillId="3" borderId="3" xfId="0" applyFont="1" applyFill="1" applyBorder="1" applyAlignment="1" applyProtection="1">
      <alignment horizontal="center" vertical="center"/>
    </xf>
    <xf numFmtId="0" fontId="3" fillId="6" borderId="1" xfId="0" applyFont="1" applyFill="1" applyBorder="1" applyAlignment="1" applyProtection="1">
      <alignment horizontal="center" vertical="center" wrapText="1"/>
    </xf>
    <xf numFmtId="1" fontId="5" fillId="2" borderId="8" xfId="1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Protection="1"/>
    <xf numFmtId="0" fontId="18" fillId="4" borderId="0" xfId="0" applyFont="1" applyFill="1" applyProtection="1"/>
    <xf numFmtId="44" fontId="5" fillId="11" borderId="2" xfId="2" applyFont="1" applyFill="1" applyBorder="1" applyAlignment="1" applyProtection="1">
      <alignment horizontal="center" vertical="center"/>
      <protection locked="0"/>
    </xf>
    <xf numFmtId="9" fontId="5" fillId="11" borderId="2" xfId="2" applyNumberFormat="1" applyFont="1" applyFill="1" applyBorder="1" applyAlignment="1" applyProtection="1">
      <alignment horizontal="center" vertical="center"/>
      <protection locked="0"/>
    </xf>
    <xf numFmtId="0" fontId="4" fillId="11" borderId="1" xfId="0" applyFont="1" applyFill="1" applyBorder="1" applyAlignment="1" applyProtection="1">
      <alignment horizontal="left" vertical="justify"/>
      <protection locked="0"/>
    </xf>
    <xf numFmtId="9" fontId="4" fillId="11" borderId="1" xfId="3" applyFont="1" applyFill="1" applyBorder="1" applyAlignment="1" applyProtection="1">
      <alignment horizontal="center" vertical="justify"/>
      <protection locked="0"/>
    </xf>
    <xf numFmtId="44" fontId="5" fillId="11" borderId="1" xfId="2" applyFont="1" applyFill="1" applyBorder="1" applyAlignment="1" applyProtection="1">
      <alignment vertical="center"/>
      <protection locked="0"/>
    </xf>
    <xf numFmtId="8" fontId="5" fillId="0" borderId="3" xfId="0" applyNumberFormat="1" applyFont="1" applyBorder="1" applyAlignment="1" applyProtection="1">
      <alignment horizontal="left" vertical="center"/>
    </xf>
    <xf numFmtId="0" fontId="0" fillId="0" borderId="0" xfId="0" applyFill="1"/>
    <xf numFmtId="44" fontId="3" fillId="7" borderId="8" xfId="0" applyNumberFormat="1" applyFont="1" applyFill="1" applyBorder="1" applyAlignment="1" applyProtection="1">
      <alignment horizontal="center" vertical="center" wrapText="1"/>
    </xf>
    <xf numFmtId="1" fontId="0" fillId="0" borderId="5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44" xfId="0" applyBorder="1" applyAlignment="1">
      <alignment vertical="center" wrapText="1"/>
    </xf>
    <xf numFmtId="166" fontId="15" fillId="2" borderId="19" xfId="0" applyNumberFormat="1" applyFont="1" applyFill="1" applyBorder="1" applyAlignment="1">
      <alignment horizontal="center" vertical="center" wrapText="1"/>
    </xf>
    <xf numFmtId="44" fontId="5" fillId="2" borderId="1" xfId="2" applyNumberFormat="1" applyFont="1" applyFill="1" applyBorder="1" applyAlignment="1" applyProtection="1">
      <alignment horizontal="right" vertical="center"/>
    </xf>
    <xf numFmtId="44" fontId="5" fillId="11" borderId="1" xfId="2" applyNumberFormat="1" applyFont="1" applyFill="1" applyBorder="1" applyAlignment="1" applyProtection="1">
      <alignment horizontal="right" vertical="center"/>
      <protection locked="0"/>
    </xf>
    <xf numFmtId="44" fontId="3" fillId="3" borderId="1" xfId="2" applyNumberFormat="1" applyFont="1" applyFill="1" applyBorder="1" applyAlignment="1" applyProtection="1">
      <alignment horizontal="right" vertical="center"/>
    </xf>
    <xf numFmtId="44" fontId="5" fillId="0" borderId="1" xfId="2" applyNumberFormat="1" applyFont="1" applyBorder="1" applyAlignment="1" applyProtection="1">
      <alignment horizontal="center" vertical="center"/>
    </xf>
    <xf numFmtId="44" fontId="3" fillId="3" borderId="1" xfId="2" applyNumberFormat="1" applyFont="1" applyFill="1" applyBorder="1" applyAlignment="1" applyProtection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50" xfId="0" applyBorder="1" applyAlignment="1">
      <alignment vertical="center" wrapText="1"/>
    </xf>
    <xf numFmtId="0" fontId="0" fillId="0" borderId="51" xfId="0" applyBorder="1" applyAlignment="1">
      <alignment vertical="center" wrapText="1"/>
    </xf>
    <xf numFmtId="0" fontId="0" fillId="0" borderId="44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54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19" fillId="0" borderId="44" xfId="0" applyFont="1" applyBorder="1" applyAlignment="1">
      <alignment horizontal="left" vertical="center" wrapText="1"/>
    </xf>
    <xf numFmtId="166" fontId="0" fillId="0" borderId="45" xfId="0" applyNumberForma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44" fontId="0" fillId="11" borderId="1" xfId="0" applyNumberFormat="1" applyFill="1" applyBorder="1" applyAlignment="1">
      <alignment vertical="center" wrapText="1"/>
    </xf>
    <xf numFmtId="44" fontId="16" fillId="11" borderId="1" xfId="0" applyNumberFormat="1" applyFont="1" applyFill="1" applyBorder="1" applyAlignment="1">
      <alignment vertical="center" wrapText="1"/>
    </xf>
    <xf numFmtId="44" fontId="16" fillId="11" borderId="4" xfId="0" applyNumberFormat="1" applyFont="1" applyFill="1" applyBorder="1" applyAlignment="1">
      <alignment vertical="center" wrapText="1"/>
    </xf>
    <xf numFmtId="44" fontId="16" fillId="11" borderId="51" xfId="0" applyNumberFormat="1" applyFont="1" applyFill="1" applyBorder="1" applyAlignment="1">
      <alignment vertical="center" wrapText="1"/>
    </xf>
    <xf numFmtId="44" fontId="0" fillId="0" borderId="1" xfId="0" applyNumberFormat="1" applyBorder="1" applyAlignment="1">
      <alignment vertical="center" wrapText="1"/>
    </xf>
    <xf numFmtId="44" fontId="0" fillId="0" borderId="51" xfId="0" applyNumberFormat="1" applyBorder="1" applyAlignment="1">
      <alignment vertical="center" wrapText="1"/>
    </xf>
    <xf numFmtId="44" fontId="0" fillId="0" borderId="45" xfId="0" applyNumberFormat="1" applyBorder="1" applyAlignment="1">
      <alignment vertical="center" wrapText="1"/>
    </xf>
    <xf numFmtId="44" fontId="0" fillId="0" borderId="52" xfId="0" applyNumberFormat="1" applyBorder="1" applyAlignment="1">
      <alignment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44" fontId="0" fillId="7" borderId="48" xfId="0" applyNumberFormat="1" applyFill="1" applyBorder="1" applyAlignment="1">
      <alignment vertical="center" wrapText="1"/>
    </xf>
    <xf numFmtId="169" fontId="5" fillId="0" borderId="1" xfId="2" applyNumberFormat="1" applyFont="1" applyBorder="1" applyAlignment="1" applyProtection="1">
      <alignment horizontal="right" vertical="center"/>
    </xf>
    <xf numFmtId="169" fontId="5" fillId="12" borderId="1" xfId="0" applyNumberFormat="1" applyFont="1" applyFill="1" applyBorder="1" applyAlignment="1" applyProtection="1">
      <alignment horizontal="right" vertical="center"/>
    </xf>
    <xf numFmtId="44" fontId="3" fillId="7" borderId="1" xfId="2" applyFont="1" applyFill="1" applyBorder="1" applyAlignment="1" applyProtection="1">
      <alignment horizontal="right" vertical="center"/>
    </xf>
    <xf numFmtId="0" fontId="16" fillId="0" borderId="1" xfId="0" applyFont="1" applyBorder="1" applyAlignment="1">
      <alignment horizontal="center" vertical="center" wrapText="1"/>
    </xf>
    <xf numFmtId="166" fontId="19" fillId="11" borderId="1" xfId="0" applyNumberFormat="1" applyFont="1" applyFill="1" applyBorder="1" applyAlignment="1">
      <alignment vertical="center" wrapText="1"/>
    </xf>
    <xf numFmtId="166" fontId="0" fillId="11" borderId="1" xfId="0" applyNumberFormat="1" applyFill="1" applyBorder="1" applyAlignment="1">
      <alignment vertical="center" wrapText="1"/>
    </xf>
    <xf numFmtId="166" fontId="19" fillId="0" borderId="1" xfId="0" applyNumberFormat="1" applyFont="1" applyBorder="1" applyAlignment="1">
      <alignment horizontal="center" vertical="center" wrapText="1"/>
    </xf>
    <xf numFmtId="166" fontId="0" fillId="0" borderId="1" xfId="0" applyNumberFormat="1" applyBorder="1" applyAlignment="1">
      <alignment horizontal="center" vertical="center" wrapText="1"/>
    </xf>
    <xf numFmtId="166" fontId="19" fillId="0" borderId="45" xfId="0" applyNumberFormat="1" applyFont="1" applyBorder="1" applyAlignment="1">
      <alignment horizontal="center" vertical="center" wrapText="1"/>
    </xf>
    <xf numFmtId="0" fontId="20" fillId="8" borderId="0" xfId="0" applyFont="1" applyFill="1" applyAlignment="1" applyProtection="1">
      <alignment horizontal="center" vertical="center"/>
    </xf>
    <xf numFmtId="169" fontId="5" fillId="8" borderId="1" xfId="0" applyNumberFormat="1" applyFont="1" applyFill="1" applyBorder="1" applyAlignment="1" applyProtection="1">
      <alignment horizontal="right" vertical="center"/>
    </xf>
    <xf numFmtId="44" fontId="4" fillId="4" borderId="0" xfId="0" applyNumberFormat="1" applyFont="1" applyFill="1" applyProtection="1"/>
    <xf numFmtId="166" fontId="16" fillId="0" borderId="45" xfId="0" applyNumberFormat="1" applyFont="1" applyBorder="1" applyAlignment="1">
      <alignment horizontal="center" vertical="center" wrapText="1"/>
    </xf>
    <xf numFmtId="0" fontId="19" fillId="0" borderId="56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center" vertical="center" wrapText="1"/>
    </xf>
    <xf numFmtId="166" fontId="19" fillId="11" borderId="57" xfId="0" applyNumberFormat="1" applyFont="1" applyFill="1" applyBorder="1" applyAlignment="1">
      <alignment vertical="center" wrapText="1"/>
    </xf>
    <xf numFmtId="0" fontId="19" fillId="0" borderId="57" xfId="0" applyFont="1" applyBorder="1" applyAlignment="1">
      <alignment horizontal="center" vertical="center" wrapText="1"/>
    </xf>
    <xf numFmtId="166" fontId="19" fillId="0" borderId="57" xfId="0" applyNumberFormat="1" applyFont="1" applyBorder="1" applyAlignment="1">
      <alignment horizontal="center" vertical="center" wrapText="1"/>
    </xf>
    <xf numFmtId="166" fontId="19" fillId="0" borderId="58" xfId="0" applyNumberFormat="1" applyFont="1" applyBorder="1" applyAlignment="1">
      <alignment horizontal="center" vertical="center" wrapText="1"/>
    </xf>
    <xf numFmtId="0" fontId="16" fillId="0" borderId="44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center" vertical="center" wrapText="1"/>
    </xf>
    <xf numFmtId="166" fontId="16" fillId="11" borderId="1" xfId="0" applyNumberFormat="1" applyFont="1" applyFill="1" applyBorder="1" applyAlignment="1">
      <alignment vertical="center" wrapText="1"/>
    </xf>
    <xf numFmtId="166" fontId="16" fillId="0" borderId="1" xfId="0" applyNumberFormat="1" applyFont="1" applyBorder="1" applyAlignment="1">
      <alignment horizontal="center" vertical="center" wrapText="1"/>
    </xf>
    <xf numFmtId="8" fontId="0" fillId="11" borderId="41" xfId="0" applyNumberFormat="1" applyFill="1" applyBorder="1" applyAlignment="1" applyProtection="1">
      <alignment horizontal="center" vertical="center" wrapText="1"/>
      <protection locked="0"/>
    </xf>
    <xf numFmtId="8" fontId="0" fillId="0" borderId="30" xfId="0" applyNumberFormat="1" applyBorder="1" applyAlignment="1" applyProtection="1">
      <alignment horizontal="center" vertical="center" wrapText="1"/>
    </xf>
    <xf numFmtId="0" fontId="17" fillId="0" borderId="1" xfId="0" applyFont="1" applyBorder="1" applyAlignment="1" applyProtection="1">
      <alignment vertical="center"/>
    </xf>
    <xf numFmtId="1" fontId="15" fillId="11" borderId="5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 applyProtection="1">
      <alignment vertical="center" wrapText="1"/>
    </xf>
    <xf numFmtId="0" fontId="14" fillId="9" borderId="16" xfId="0" applyFont="1" applyFill="1" applyBorder="1" applyAlignment="1">
      <alignment horizontal="center" vertical="center" wrapText="1"/>
    </xf>
    <xf numFmtId="8" fontId="5" fillId="0" borderId="3" xfId="0" applyNumberFormat="1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vertical="center"/>
    </xf>
    <xf numFmtId="0" fontId="3" fillId="3" borderId="1" xfId="0" applyFont="1" applyFill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14" fillId="9" borderId="16" xfId="0" applyFont="1" applyFill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vertical="center"/>
    </xf>
    <xf numFmtId="8" fontId="5" fillId="0" borderId="3" xfId="0" applyNumberFormat="1" applyFont="1" applyBorder="1" applyAlignment="1" applyProtection="1">
      <alignment horizontal="center" vertical="center"/>
    </xf>
    <xf numFmtId="44" fontId="3" fillId="13" borderId="2" xfId="2" applyFont="1" applyFill="1" applyBorder="1" applyAlignment="1" applyProtection="1">
      <alignment horizontal="right" vertical="center"/>
    </xf>
    <xf numFmtId="10" fontId="7" fillId="11" borderId="6" xfId="3" applyNumberFormat="1" applyFont="1" applyFill="1" applyBorder="1" applyAlignment="1" applyProtection="1">
      <alignment horizontal="center" vertical="center"/>
      <protection locked="0"/>
    </xf>
    <xf numFmtId="10" fontId="5" fillId="11" borderId="1" xfId="3" applyNumberFormat="1" applyFont="1" applyFill="1" applyBorder="1" applyAlignment="1" applyProtection="1">
      <alignment horizontal="center" vertical="center"/>
      <protection locked="0"/>
    </xf>
    <xf numFmtId="10" fontId="3" fillId="11" borderId="1" xfId="3" applyNumberFormat="1" applyFont="1" applyFill="1" applyBorder="1" applyAlignment="1" applyProtection="1">
      <alignment horizontal="center" vertical="center"/>
      <protection locked="0"/>
    </xf>
    <xf numFmtId="10" fontId="5" fillId="11" borderId="1" xfId="0" applyNumberFormat="1" applyFont="1" applyFill="1" applyBorder="1" applyAlignment="1" applyProtection="1">
      <alignment horizontal="center" vertical="center"/>
      <protection locked="0"/>
    </xf>
    <xf numFmtId="10" fontId="5" fillId="11" borderId="2" xfId="3" applyNumberFormat="1" applyFont="1" applyFill="1" applyBorder="1" applyAlignment="1" applyProtection="1">
      <alignment horizontal="center" vertical="center"/>
      <protection locked="0"/>
    </xf>
    <xf numFmtId="10" fontId="5" fillId="11" borderId="2" xfId="3" applyNumberFormat="1" applyFont="1" applyFill="1" applyBorder="1" applyAlignment="1" applyProtection="1">
      <alignment vertical="center"/>
      <protection locked="0"/>
    </xf>
    <xf numFmtId="170" fontId="4" fillId="0" borderId="1" xfId="0" applyNumberFormat="1" applyFont="1" applyBorder="1" applyAlignment="1" applyProtection="1">
      <alignment horizontal="center" vertical="center"/>
    </xf>
    <xf numFmtId="44" fontId="5" fillId="11" borderId="2" xfId="2" applyNumberFormat="1" applyFont="1" applyFill="1" applyBorder="1" applyAlignment="1" applyProtection="1">
      <alignment horizontal="center" vertical="center"/>
      <protection locked="0"/>
    </xf>
    <xf numFmtId="10" fontId="5" fillId="11" borderId="2" xfId="2" applyNumberFormat="1" applyFont="1" applyFill="1" applyBorder="1" applyAlignment="1" applyProtection="1">
      <alignment horizontal="center" vertical="center"/>
      <protection locked="0"/>
    </xf>
    <xf numFmtId="0" fontId="21" fillId="0" borderId="5" xfId="0" applyFont="1" applyBorder="1"/>
    <xf numFmtId="0" fontId="21" fillId="0" borderId="19" xfId="0" applyFont="1" applyBorder="1" applyAlignment="1">
      <alignment horizontal="left" vertical="center"/>
    </xf>
    <xf numFmtId="10" fontId="5" fillId="8" borderId="1" xfId="0" applyNumberFormat="1" applyFont="1" applyFill="1" applyBorder="1" applyAlignment="1" applyProtection="1">
      <alignment horizontal="center" vertical="center"/>
    </xf>
    <xf numFmtId="44" fontId="4" fillId="11" borderId="1" xfId="2" applyFont="1" applyFill="1" applyBorder="1" applyAlignment="1" applyProtection="1">
      <alignment horizontal="center"/>
      <protection locked="0"/>
    </xf>
    <xf numFmtId="0" fontId="4" fillId="11" borderId="1" xfId="0" applyFont="1" applyFill="1" applyBorder="1" applyAlignment="1" applyProtection="1">
      <alignment horizontal="center" vertical="justify"/>
      <protection locked="0"/>
    </xf>
    <xf numFmtId="14" fontId="7" fillId="11" borderId="1" xfId="0" applyNumberFormat="1" applyFont="1" applyFill="1" applyBorder="1" applyAlignment="1" applyProtection="1">
      <alignment horizontal="center" vertical="center"/>
      <protection locked="0"/>
    </xf>
    <xf numFmtId="0" fontId="4" fillId="11" borderId="1" xfId="0" applyFont="1" applyFill="1" applyBorder="1" applyAlignment="1" applyProtection="1">
      <alignment vertical="center" wrapText="1"/>
      <protection locked="0"/>
    </xf>
    <xf numFmtId="44" fontId="4" fillId="11" borderId="1" xfId="2" applyFont="1" applyFill="1" applyBorder="1" applyAlignment="1" applyProtection="1">
      <alignment horizontal="right" vertical="center"/>
      <protection locked="0"/>
    </xf>
    <xf numFmtId="0" fontId="4" fillId="11" borderId="1" xfId="0" applyFont="1" applyFill="1" applyBorder="1" applyAlignment="1" applyProtection="1">
      <alignment vertical="center"/>
      <protection locked="0"/>
    </xf>
    <xf numFmtId="44" fontId="5" fillId="11" borderId="1" xfId="2" applyFont="1" applyFill="1" applyBorder="1" applyAlignment="1" applyProtection="1">
      <alignment horizontal="right" vertical="center"/>
      <protection locked="0"/>
    </xf>
    <xf numFmtId="10" fontId="5" fillId="2" borderId="2" xfId="3" applyNumberFormat="1" applyFont="1" applyFill="1" applyBorder="1" applyAlignment="1" applyProtection="1">
      <alignment horizontal="center" vertical="center"/>
      <protection locked="0"/>
    </xf>
    <xf numFmtId="44" fontId="7" fillId="2" borderId="1" xfId="2" applyFont="1" applyFill="1" applyBorder="1" applyAlignment="1" applyProtection="1">
      <alignment horizontal="right" vertical="center"/>
    </xf>
    <xf numFmtId="44" fontId="0" fillId="7" borderId="18" xfId="2" applyFont="1" applyFill="1" applyBorder="1" applyAlignment="1">
      <alignment horizontal="center" vertical="center" wrapText="1"/>
    </xf>
    <xf numFmtId="44" fontId="0" fillId="7" borderId="18" xfId="2" applyFont="1" applyFill="1" applyBorder="1" applyAlignment="1" applyProtection="1">
      <alignment horizontal="center" vertical="center" wrapText="1"/>
    </xf>
    <xf numFmtId="44" fontId="0" fillId="7" borderId="42" xfId="2" applyFont="1" applyFill="1" applyBorder="1" applyAlignment="1">
      <alignment horizontal="center" vertical="center" wrapText="1"/>
    </xf>
    <xf numFmtId="44" fontId="5" fillId="0" borderId="1" xfId="2" applyFont="1" applyBorder="1" applyAlignment="1" applyProtection="1">
      <alignment horizontal="center" vertical="center"/>
    </xf>
    <xf numFmtId="9" fontId="4" fillId="4" borderId="0" xfId="0" applyNumberFormat="1" applyFont="1" applyFill="1" applyProtection="1"/>
    <xf numFmtId="10" fontId="4" fillId="4" borderId="0" xfId="3" applyNumberFormat="1" applyFont="1" applyFill="1" applyProtection="1"/>
    <xf numFmtId="1" fontId="0" fillId="0" borderId="18" xfId="1" applyNumberFormat="1" applyFont="1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14" fillId="9" borderId="16" xfId="0" applyFont="1" applyFill="1" applyBorder="1" applyAlignment="1">
      <alignment horizontal="center" vertical="center" wrapText="1"/>
    </xf>
    <xf numFmtId="0" fontId="14" fillId="9" borderId="17" xfId="0" applyFont="1" applyFill="1" applyBorder="1" applyAlignment="1">
      <alignment horizontal="center" vertical="center" wrapText="1"/>
    </xf>
    <xf numFmtId="0" fontId="14" fillId="9" borderId="18" xfId="0" applyFont="1" applyFill="1" applyBorder="1" applyAlignment="1">
      <alignment horizontal="center" vertical="center" wrapText="1"/>
    </xf>
    <xf numFmtId="0" fontId="12" fillId="3" borderId="25" xfId="0" applyFont="1" applyFill="1" applyBorder="1" applyAlignment="1">
      <alignment horizontal="center" vertical="center"/>
    </xf>
    <xf numFmtId="0" fontId="12" fillId="3" borderId="26" xfId="0" applyFont="1" applyFill="1" applyBorder="1" applyAlignment="1">
      <alignment horizontal="center" vertical="center"/>
    </xf>
    <xf numFmtId="0" fontId="12" fillId="3" borderId="27" xfId="0" applyFont="1" applyFill="1" applyBorder="1" applyAlignment="1">
      <alignment horizontal="center" vertical="center"/>
    </xf>
    <xf numFmtId="0" fontId="13" fillId="5" borderId="20" xfId="0" applyFont="1" applyFill="1" applyBorder="1" applyAlignment="1">
      <alignment horizontal="center" vertical="center"/>
    </xf>
    <xf numFmtId="0" fontId="13" fillId="5" borderId="21" xfId="0" applyFont="1" applyFill="1" applyBorder="1" applyAlignment="1">
      <alignment horizontal="center" vertical="center"/>
    </xf>
    <xf numFmtId="0" fontId="13" fillId="5" borderId="22" xfId="0" applyFont="1" applyFill="1" applyBorder="1" applyAlignment="1">
      <alignment horizontal="center" vertical="center"/>
    </xf>
    <xf numFmtId="0" fontId="21" fillId="0" borderId="19" xfId="0" applyFont="1" applyBorder="1" applyAlignment="1">
      <alignment horizontal="left" vertical="center"/>
    </xf>
    <xf numFmtId="0" fontId="21" fillId="0" borderId="59" xfId="0" applyFont="1" applyBorder="1" applyAlignment="1">
      <alignment horizontal="left" vertical="center"/>
    </xf>
    <xf numFmtId="0" fontId="21" fillId="0" borderId="48" xfId="0" applyFont="1" applyBorder="1" applyAlignment="1">
      <alignment horizontal="left" vertical="center"/>
    </xf>
    <xf numFmtId="1" fontId="15" fillId="2" borderId="19" xfId="0" applyNumberFormat="1" applyFont="1" applyFill="1" applyBorder="1" applyAlignment="1">
      <alignment horizontal="center" vertical="center" wrapText="1"/>
    </xf>
    <xf numFmtId="1" fontId="15" fillId="2" borderId="59" xfId="0" applyNumberFormat="1" applyFont="1" applyFill="1" applyBorder="1" applyAlignment="1">
      <alignment horizontal="center" vertical="center" wrapText="1"/>
    </xf>
    <xf numFmtId="1" fontId="15" fillId="2" borderId="48" xfId="0" applyNumberFormat="1" applyFont="1" applyFill="1" applyBorder="1" applyAlignment="1">
      <alignment horizontal="center" vertical="center" wrapText="1"/>
    </xf>
    <xf numFmtId="0" fontId="13" fillId="5" borderId="16" xfId="0" applyFont="1" applyFill="1" applyBorder="1" applyAlignment="1" applyProtection="1">
      <alignment horizontal="center" vertical="center"/>
    </xf>
    <xf numFmtId="0" fontId="13" fillId="5" borderId="17" xfId="0" applyFont="1" applyFill="1" applyBorder="1" applyAlignment="1" applyProtection="1">
      <alignment horizontal="center" vertical="center"/>
    </xf>
    <xf numFmtId="0" fontId="13" fillId="5" borderId="18" xfId="0" applyFont="1" applyFill="1" applyBorder="1" applyAlignment="1" applyProtection="1">
      <alignment horizontal="center" vertical="center"/>
    </xf>
    <xf numFmtId="0" fontId="11" fillId="0" borderId="35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38" xfId="0" applyBorder="1" applyAlignment="1" applyProtection="1">
      <alignment horizontal="center" vertical="center" wrapText="1"/>
    </xf>
    <xf numFmtId="0" fontId="0" fillId="0" borderId="39" xfId="0" applyBorder="1" applyAlignment="1" applyProtection="1">
      <alignment horizontal="center" vertical="center" wrapText="1"/>
    </xf>
    <xf numFmtId="0" fontId="0" fillId="0" borderId="40" xfId="0" applyBorder="1" applyAlignment="1" applyProtection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0" fillId="8" borderId="0" xfId="0" applyFill="1" applyAlignment="1" applyProtection="1">
      <alignment horizontal="center"/>
    </xf>
    <xf numFmtId="0" fontId="12" fillId="10" borderId="25" xfId="0" applyFont="1" applyFill="1" applyBorder="1" applyAlignment="1" applyProtection="1">
      <alignment horizontal="center" vertical="center"/>
    </xf>
    <xf numFmtId="0" fontId="12" fillId="10" borderId="26" xfId="0" applyFont="1" applyFill="1" applyBorder="1" applyAlignment="1" applyProtection="1">
      <alignment horizontal="center" vertical="center"/>
    </xf>
    <xf numFmtId="0" fontId="12" fillId="10" borderId="27" xfId="0" applyFont="1" applyFill="1" applyBorder="1" applyAlignment="1" applyProtection="1">
      <alignment horizontal="center" vertical="center"/>
    </xf>
    <xf numFmtId="0" fontId="13" fillId="5" borderId="25" xfId="0" applyFont="1" applyFill="1" applyBorder="1" applyAlignment="1" applyProtection="1">
      <alignment horizontal="center" vertical="center"/>
    </xf>
    <xf numFmtId="0" fontId="13" fillId="5" borderId="26" xfId="0" applyFont="1" applyFill="1" applyBorder="1" applyAlignment="1" applyProtection="1">
      <alignment horizontal="center" vertical="center"/>
    </xf>
    <xf numFmtId="0" fontId="13" fillId="5" borderId="27" xfId="0" applyFont="1" applyFill="1" applyBorder="1" applyAlignment="1" applyProtection="1">
      <alignment horizontal="center" vertical="center"/>
    </xf>
    <xf numFmtId="0" fontId="11" fillId="0" borderId="46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11" fillId="0" borderId="47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49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vertical="center"/>
    </xf>
    <xf numFmtId="0" fontId="5" fillId="2" borderId="3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14" fontId="5" fillId="11" borderId="3" xfId="0" applyNumberFormat="1" applyFont="1" applyFill="1" applyBorder="1" applyAlignment="1" applyProtection="1">
      <alignment horizontal="center" vertical="center"/>
      <protection locked="0"/>
    </xf>
    <xf numFmtId="0" fontId="5" fillId="11" borderId="2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vertical="center"/>
    </xf>
    <xf numFmtId="0" fontId="5" fillId="11" borderId="10" xfId="0" applyFont="1" applyFill="1" applyBorder="1" applyAlignment="1" applyProtection="1">
      <alignment horizontal="center" vertical="center" wrapText="1"/>
      <protection locked="0"/>
    </xf>
    <xf numFmtId="0" fontId="5" fillId="11" borderId="11" xfId="0" applyFont="1" applyFill="1" applyBorder="1" applyAlignment="1" applyProtection="1">
      <alignment horizontal="center" vertical="center" wrapText="1"/>
      <protection locked="0"/>
    </xf>
    <xf numFmtId="1" fontId="4" fillId="0" borderId="3" xfId="0" applyNumberFormat="1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left" vertical="center"/>
    </xf>
    <xf numFmtId="0" fontId="3" fillId="0" borderId="6" xfId="0" applyFont="1" applyBorder="1" applyAlignment="1" applyProtection="1">
      <alignment horizontal="left" vertical="center"/>
    </xf>
    <xf numFmtId="0" fontId="3" fillId="0" borderId="2" xfId="0" applyFont="1" applyBorder="1" applyAlignment="1" applyProtection="1">
      <alignment horizontal="left" vertical="center"/>
    </xf>
    <xf numFmtId="8" fontId="3" fillId="0" borderId="1" xfId="0" applyNumberFormat="1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4" fillId="11" borderId="3" xfId="0" applyFont="1" applyFill="1" applyBorder="1" applyAlignment="1" applyProtection="1">
      <alignment horizontal="center" vertical="center"/>
      <protection locked="0"/>
    </xf>
    <xf numFmtId="0" fontId="4" fillId="11" borderId="2" xfId="0" applyFont="1" applyFill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left" vertical="center"/>
    </xf>
    <xf numFmtId="0" fontId="5" fillId="0" borderId="2" xfId="0" applyFont="1" applyBorder="1" applyAlignment="1" applyProtection="1">
      <alignment horizontal="left" vertical="center"/>
    </xf>
    <xf numFmtId="0" fontId="5" fillId="0" borderId="6" xfId="0" applyFont="1" applyBorder="1" applyAlignment="1" applyProtection="1">
      <alignment horizontal="center" vertical="center"/>
    </xf>
    <xf numFmtId="0" fontId="3" fillId="5" borderId="1" xfId="0" applyFont="1" applyFill="1" applyBorder="1" applyAlignment="1" applyProtection="1">
      <alignment vertical="center"/>
    </xf>
    <xf numFmtId="0" fontId="3" fillId="0" borderId="6" xfId="0" applyFont="1" applyBorder="1" applyAlignment="1" applyProtection="1">
      <alignment horizontal="center" vertical="center"/>
    </xf>
    <xf numFmtId="0" fontId="3" fillId="3" borderId="3" xfId="0" applyFont="1" applyFill="1" applyBorder="1" applyAlignment="1" applyProtection="1">
      <alignment horizontal="left" vertical="center"/>
    </xf>
    <xf numFmtId="0" fontId="3" fillId="3" borderId="2" xfId="0" applyFont="1" applyFill="1" applyBorder="1" applyAlignment="1" applyProtection="1">
      <alignment horizontal="left" vertical="center"/>
    </xf>
    <xf numFmtId="0" fontId="3" fillId="3" borderId="6" xfId="0" applyFont="1" applyFill="1" applyBorder="1" applyAlignment="1" applyProtection="1">
      <alignment horizontal="left" vertical="center"/>
    </xf>
    <xf numFmtId="8" fontId="17" fillId="5" borderId="3" xfId="0" applyNumberFormat="1" applyFont="1" applyFill="1" applyBorder="1" applyAlignment="1" applyProtection="1">
      <alignment horizontal="left" vertical="center"/>
    </xf>
    <xf numFmtId="8" fontId="17" fillId="5" borderId="6" xfId="0" applyNumberFormat="1" applyFont="1" applyFill="1" applyBorder="1" applyAlignment="1" applyProtection="1">
      <alignment horizontal="left" vertical="center"/>
    </xf>
    <xf numFmtId="8" fontId="17" fillId="5" borderId="2" xfId="0" applyNumberFormat="1" applyFont="1" applyFill="1" applyBorder="1" applyAlignment="1" applyProtection="1">
      <alignment horizontal="left" vertical="center"/>
    </xf>
    <xf numFmtId="8" fontId="3" fillId="5" borderId="3" xfId="0" applyNumberFormat="1" applyFont="1" applyFill="1" applyBorder="1" applyAlignment="1" applyProtection="1">
      <alignment horizontal="left" vertical="center"/>
    </xf>
    <xf numFmtId="8" fontId="3" fillId="5" borderId="6" xfId="0" applyNumberFormat="1" applyFont="1" applyFill="1" applyBorder="1" applyAlignment="1" applyProtection="1">
      <alignment horizontal="left" vertical="center"/>
    </xf>
    <xf numFmtId="8" fontId="3" fillId="5" borderId="2" xfId="0" applyNumberFormat="1" applyFont="1" applyFill="1" applyBorder="1" applyAlignment="1" applyProtection="1">
      <alignment horizontal="left" vertical="center"/>
    </xf>
    <xf numFmtId="8" fontId="3" fillId="0" borderId="3" xfId="0" applyNumberFormat="1" applyFont="1" applyBorder="1" applyAlignment="1" applyProtection="1">
      <alignment horizontal="center" vertical="center"/>
    </xf>
    <xf numFmtId="8" fontId="3" fillId="0" borderId="6" xfId="0" applyNumberFormat="1" applyFont="1" applyBorder="1" applyAlignment="1" applyProtection="1">
      <alignment horizontal="center" vertical="center"/>
    </xf>
    <xf numFmtId="8" fontId="3" fillId="0" borderId="2" xfId="0" applyNumberFormat="1" applyFont="1" applyBorder="1" applyAlignment="1" applyProtection="1">
      <alignment horizontal="center" vertical="center"/>
    </xf>
    <xf numFmtId="8" fontId="3" fillId="3" borderId="3" xfId="0" applyNumberFormat="1" applyFont="1" applyFill="1" applyBorder="1" applyAlignment="1" applyProtection="1">
      <alignment horizontal="left" vertical="center"/>
    </xf>
    <xf numFmtId="8" fontId="3" fillId="3" borderId="2" xfId="0" applyNumberFormat="1" applyFont="1" applyFill="1" applyBorder="1" applyAlignment="1" applyProtection="1">
      <alignment horizontal="left" vertical="center"/>
    </xf>
    <xf numFmtId="8" fontId="3" fillId="3" borderId="6" xfId="0" applyNumberFormat="1" applyFont="1" applyFill="1" applyBorder="1" applyAlignment="1" applyProtection="1">
      <alignment horizontal="left" vertical="center"/>
    </xf>
    <xf numFmtId="8" fontId="3" fillId="3" borderId="3" xfId="0" applyNumberFormat="1" applyFont="1" applyFill="1" applyBorder="1" applyAlignment="1" applyProtection="1">
      <alignment horizontal="center" vertical="center"/>
    </xf>
    <xf numFmtId="8" fontId="3" fillId="3" borderId="11" xfId="0" applyNumberFormat="1" applyFont="1" applyFill="1" applyBorder="1" applyAlignment="1" applyProtection="1">
      <alignment horizontal="center" vertical="center"/>
    </xf>
    <xf numFmtId="8" fontId="3" fillId="0" borderId="3" xfId="0" applyNumberFormat="1" applyFont="1" applyBorder="1" applyAlignment="1" applyProtection="1">
      <alignment horizontal="left" vertical="center"/>
    </xf>
    <xf numFmtId="8" fontId="3" fillId="0" borderId="6" xfId="0" applyNumberFormat="1" applyFont="1" applyBorder="1" applyAlignment="1" applyProtection="1">
      <alignment horizontal="left" vertical="center"/>
    </xf>
    <xf numFmtId="8" fontId="3" fillId="0" borderId="2" xfId="0" applyNumberFormat="1" applyFont="1" applyBorder="1" applyAlignment="1" applyProtection="1">
      <alignment horizontal="left" vertical="center"/>
    </xf>
    <xf numFmtId="0" fontId="4" fillId="12" borderId="1" xfId="0" applyFont="1" applyFill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5" fillId="8" borderId="3" xfId="0" applyFont="1" applyFill="1" applyBorder="1" applyAlignment="1" applyProtection="1">
      <alignment horizontal="center" vertical="center" wrapText="1"/>
    </xf>
    <xf numFmtId="0" fontId="5" fillId="8" borderId="2" xfId="0" applyFont="1" applyFill="1" applyBorder="1" applyAlignment="1" applyProtection="1">
      <alignment horizontal="center" vertical="center" wrapText="1"/>
    </xf>
    <xf numFmtId="8" fontId="5" fillId="0" borderId="3" xfId="0" applyNumberFormat="1" applyFont="1" applyBorder="1" applyAlignment="1" applyProtection="1">
      <alignment horizontal="center" vertical="center"/>
    </xf>
    <xf numFmtId="8" fontId="5" fillId="0" borderId="6" xfId="0" applyNumberFormat="1" applyFont="1" applyBorder="1" applyAlignment="1" applyProtection="1">
      <alignment horizontal="center" vertical="center"/>
    </xf>
    <xf numFmtId="8" fontId="5" fillId="0" borderId="2" xfId="0" applyNumberFormat="1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vertical="center" wrapText="1"/>
    </xf>
    <xf numFmtId="0" fontId="4" fillId="0" borderId="2" xfId="0" applyFont="1" applyBorder="1" applyAlignment="1" applyProtection="1">
      <alignment vertical="center" wrapText="1"/>
    </xf>
    <xf numFmtId="0" fontId="4" fillId="0" borderId="3" xfId="0" applyFont="1" applyBorder="1" applyAlignment="1" applyProtection="1">
      <alignment horizontal="left" vertical="center" wrapText="1"/>
    </xf>
    <xf numFmtId="0" fontId="4" fillId="0" borderId="2" xfId="0" applyFont="1" applyBorder="1" applyAlignment="1" applyProtection="1">
      <alignment horizontal="left" vertical="center" wrapText="1"/>
    </xf>
    <xf numFmtId="0" fontId="4" fillId="11" borderId="3" xfId="0" applyFont="1" applyFill="1" applyBorder="1" applyAlignment="1" applyProtection="1">
      <alignment horizontal="left" vertical="justify"/>
      <protection locked="0"/>
    </xf>
    <xf numFmtId="0" fontId="4" fillId="11" borderId="2" xfId="0" applyFont="1" applyFill="1" applyBorder="1" applyAlignment="1" applyProtection="1">
      <alignment horizontal="left" vertical="justify"/>
      <protection locked="0"/>
    </xf>
    <xf numFmtId="8" fontId="3" fillId="13" borderId="1" xfId="0" applyNumberFormat="1" applyFont="1" applyFill="1" applyBorder="1" applyAlignment="1" applyProtection="1">
      <alignment horizontal="left" vertical="center"/>
    </xf>
    <xf numFmtId="8" fontId="3" fillId="5" borderId="1" xfId="0" applyNumberFormat="1" applyFont="1" applyFill="1" applyBorder="1" applyAlignment="1" applyProtection="1">
      <alignment horizontal="left" vertical="center"/>
    </xf>
    <xf numFmtId="8" fontId="3" fillId="0" borderId="13" xfId="0" applyNumberFormat="1" applyFont="1" applyBorder="1" applyAlignment="1" applyProtection="1">
      <alignment horizontal="left" vertical="center"/>
    </xf>
    <xf numFmtId="8" fontId="3" fillId="0" borderId="7" xfId="0" applyNumberFormat="1" applyFont="1" applyBorder="1" applyAlignment="1" applyProtection="1">
      <alignment horizontal="left" vertical="center"/>
    </xf>
    <xf numFmtId="8" fontId="3" fillId="0" borderId="12" xfId="0" applyNumberFormat="1" applyFont="1" applyBorder="1" applyAlignment="1" applyProtection="1">
      <alignment horizontal="left" vertical="center"/>
    </xf>
    <xf numFmtId="0" fontId="4" fillId="0" borderId="6" xfId="0" applyFont="1" applyBorder="1" applyAlignment="1" applyProtection="1">
      <alignment horizontal="left" vertical="center" wrapText="1"/>
    </xf>
    <xf numFmtId="0" fontId="5" fillId="0" borderId="6" xfId="0" applyFont="1" applyBorder="1" applyAlignment="1" applyProtection="1">
      <alignment horizontal="left" vertical="center"/>
    </xf>
    <xf numFmtId="0" fontId="6" fillId="0" borderId="3" xfId="0" applyFont="1" applyBorder="1" applyProtection="1"/>
    <xf numFmtId="0" fontId="6" fillId="0" borderId="6" xfId="0" applyFont="1" applyBorder="1" applyProtection="1"/>
    <xf numFmtId="0" fontId="6" fillId="0" borderId="2" xfId="0" applyFont="1" applyBorder="1" applyProtection="1"/>
    <xf numFmtId="0" fontId="3" fillId="6" borderId="9" xfId="0" applyFont="1" applyFill="1" applyBorder="1" applyAlignment="1" applyProtection="1">
      <alignment horizontal="center" vertical="center" wrapText="1"/>
    </xf>
    <xf numFmtId="0" fontId="3" fillId="6" borderId="14" xfId="0" applyFont="1" applyFill="1" applyBorder="1" applyAlignment="1" applyProtection="1">
      <alignment horizontal="center" vertical="center" wrapText="1"/>
    </xf>
    <xf numFmtId="0" fontId="3" fillId="6" borderId="55" xfId="0" applyFont="1" applyFill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</xf>
    <xf numFmtId="0" fontId="5" fillId="0" borderId="14" xfId="0" applyFont="1" applyBorder="1" applyAlignment="1" applyProtection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</xf>
  </cellXfs>
  <cellStyles count="6">
    <cellStyle name="Moeda" xfId="2" builtinId="4"/>
    <cellStyle name="Normal" xfId="0" builtinId="0"/>
    <cellStyle name="Normal 2" xfId="4" xr:uid="{00000000-0005-0000-0000-000002000000}"/>
    <cellStyle name="Normal 2 2" xfId="5" xr:uid="{00000000-0005-0000-0000-000003000000}"/>
    <cellStyle name="Porcentagem" xfId="3" builtinId="5"/>
    <cellStyle name="Vírgula" xfId="1" builtinId="3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>
    <tabColor rgb="FF00B0F0"/>
  </sheetPr>
  <dimension ref="A1:J19"/>
  <sheetViews>
    <sheetView tabSelected="1" topLeftCell="B1" zoomScaleNormal="100" workbookViewId="0">
      <selection activeCell="C10" sqref="C10"/>
    </sheetView>
  </sheetViews>
  <sheetFormatPr defaultColWidth="0" defaultRowHeight="15" zeroHeight="1" x14ac:dyDescent="0.25"/>
  <cols>
    <col min="1" max="1" width="4.140625" style="89" customWidth="1"/>
    <col min="2" max="2" width="5.5703125" style="89" customWidth="1"/>
    <col min="3" max="3" width="41.85546875" style="89" customWidth="1"/>
    <col min="4" max="4" width="26.5703125" style="89" bestFit="1" customWidth="1"/>
    <col min="5" max="5" width="17.7109375" style="89" customWidth="1"/>
    <col min="6" max="6" width="13" style="89" customWidth="1"/>
    <col min="7" max="7" width="15.42578125" style="89" customWidth="1"/>
    <col min="8" max="8" width="15.5703125" style="89" customWidth="1"/>
    <col min="9" max="9" width="20" style="89" customWidth="1"/>
    <col min="10" max="10" width="17.7109375" style="89" customWidth="1"/>
    <col min="11" max="16384" width="9.140625" style="89" hidden="1"/>
  </cols>
  <sheetData>
    <row r="1" spans="1:10" ht="15.75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20.25" x14ac:dyDescent="0.25">
      <c r="A2" s="1"/>
      <c r="B2" s="193" t="s">
        <v>99</v>
      </c>
      <c r="C2" s="194"/>
      <c r="D2" s="194"/>
      <c r="E2" s="194"/>
      <c r="F2" s="194"/>
      <c r="G2" s="194"/>
      <c r="H2" s="194"/>
      <c r="I2" s="195"/>
      <c r="J2" s="1"/>
    </row>
    <row r="3" spans="1:10" ht="19.5" thickBot="1" x14ac:dyDescent="0.3">
      <c r="A3" s="1"/>
      <c r="B3" s="196" t="s">
        <v>100</v>
      </c>
      <c r="C3" s="197"/>
      <c r="D3" s="197"/>
      <c r="E3" s="197"/>
      <c r="F3" s="197"/>
      <c r="G3" s="197"/>
      <c r="H3" s="197"/>
      <c r="I3" s="198"/>
      <c r="J3" s="1"/>
    </row>
    <row r="4" spans="1:10" ht="32.25" thickBot="1" x14ac:dyDescent="0.3">
      <c r="A4" s="1"/>
      <c r="B4" s="2" t="s">
        <v>206</v>
      </c>
      <c r="C4" s="155" t="s">
        <v>207</v>
      </c>
      <c r="D4" s="150" t="s">
        <v>203</v>
      </c>
      <c r="E4" s="2" t="s">
        <v>219</v>
      </c>
      <c r="F4" s="2" t="s">
        <v>218</v>
      </c>
      <c r="G4" s="2" t="s">
        <v>217</v>
      </c>
      <c r="H4" s="2" t="s">
        <v>215</v>
      </c>
      <c r="I4" s="2" t="s">
        <v>216</v>
      </c>
      <c r="J4" s="1"/>
    </row>
    <row r="5" spans="1:10" ht="16.5" thickBot="1" x14ac:dyDescent="0.3">
      <c r="A5" s="1"/>
      <c r="B5" s="3">
        <v>1</v>
      </c>
      <c r="C5" s="170" t="s">
        <v>231</v>
      </c>
      <c r="D5" s="199" t="s">
        <v>205</v>
      </c>
      <c r="E5" s="94">
        <f>'Item 1 - SR 44 horas'!D174</f>
        <v>5461.7147259248823</v>
      </c>
      <c r="F5" s="148">
        <v>1</v>
      </c>
      <c r="G5" s="4">
        <f>E5*F5</f>
        <v>5461.7147259248823</v>
      </c>
      <c r="H5" s="202">
        <v>24</v>
      </c>
      <c r="I5" s="4">
        <f>H5*G5</f>
        <v>131081.15342219718</v>
      </c>
      <c r="J5" s="14"/>
    </row>
    <row r="6" spans="1:10" ht="16.5" thickBot="1" x14ac:dyDescent="0.3">
      <c r="A6" s="1"/>
      <c r="B6" s="3">
        <v>2</v>
      </c>
      <c r="C6" s="170" t="s">
        <v>230</v>
      </c>
      <c r="D6" s="200"/>
      <c r="E6" s="94">
        <f>'Item 2 - SR 12x36 diur.'!D174</f>
        <v>11109.724322095493</v>
      </c>
      <c r="F6" s="148">
        <v>1</v>
      </c>
      <c r="G6" s="4">
        <f t="shared" ref="G6:G15" si="0">E6*F6</f>
        <v>11109.724322095493</v>
      </c>
      <c r="H6" s="203"/>
      <c r="I6" s="4">
        <f>H5*G6</f>
        <v>266633.38373029185</v>
      </c>
      <c r="J6" s="14"/>
    </row>
    <row r="7" spans="1:10" ht="16.5" thickBot="1" x14ac:dyDescent="0.3">
      <c r="A7" s="1"/>
      <c r="B7" s="3">
        <v>3</v>
      </c>
      <c r="C7" s="170" t="s">
        <v>204</v>
      </c>
      <c r="D7" s="201"/>
      <c r="E7" s="94">
        <f>'Item 3 - SR 12x36 not.'!D174</f>
        <v>12201.355611151947</v>
      </c>
      <c r="F7" s="148">
        <v>1</v>
      </c>
      <c r="G7" s="4">
        <f t="shared" si="0"/>
        <v>12201.355611151947</v>
      </c>
      <c r="H7" s="203"/>
      <c r="I7" s="4">
        <f>H5*G7</f>
        <v>292832.53466764675</v>
      </c>
      <c r="J7" s="14"/>
    </row>
    <row r="8" spans="1:10" ht="16.5" thickBot="1" x14ac:dyDescent="0.3">
      <c r="A8" s="1"/>
      <c r="B8" s="3">
        <v>4</v>
      </c>
      <c r="C8" s="170" t="s">
        <v>230</v>
      </c>
      <c r="D8" s="199" t="s">
        <v>208</v>
      </c>
      <c r="E8" s="94">
        <f>'Item 4 - NEPOM 12x36 diur.'!D174</f>
        <v>11124.588212878658</v>
      </c>
      <c r="F8" s="148">
        <v>1</v>
      </c>
      <c r="G8" s="4">
        <f t="shared" si="0"/>
        <v>11124.588212878658</v>
      </c>
      <c r="H8" s="203"/>
      <c r="I8" s="4">
        <f>H5*G8</f>
        <v>266990.11710908776</v>
      </c>
      <c r="J8" s="14"/>
    </row>
    <row r="9" spans="1:10" ht="16.5" thickBot="1" x14ac:dyDescent="0.3">
      <c r="A9" s="1"/>
      <c r="B9" s="3">
        <v>5</v>
      </c>
      <c r="C9" s="170" t="s">
        <v>204</v>
      </c>
      <c r="D9" s="201"/>
      <c r="E9" s="94">
        <f>'Item 5 - NEPOM 12x36 not.'!D174</f>
        <v>12216.219501935109</v>
      </c>
      <c r="F9" s="148">
        <v>1</v>
      </c>
      <c r="G9" s="4">
        <f t="shared" si="0"/>
        <v>12216.219501935109</v>
      </c>
      <c r="H9" s="203"/>
      <c r="I9" s="4">
        <f>H5*G9</f>
        <v>293189.26804644265</v>
      </c>
      <c r="J9" s="14"/>
    </row>
    <row r="10" spans="1:10" ht="16.5" thickBot="1" x14ac:dyDescent="0.3">
      <c r="A10" s="1"/>
      <c r="B10" s="3">
        <v>6</v>
      </c>
      <c r="C10" s="170" t="s">
        <v>204</v>
      </c>
      <c r="D10" s="171" t="s">
        <v>209</v>
      </c>
      <c r="E10" s="94">
        <f>'Item 6 - IJI 12x36 not.'!D174</f>
        <v>12298.028819282426</v>
      </c>
      <c r="F10" s="148">
        <v>1</v>
      </c>
      <c r="G10" s="4">
        <f t="shared" si="0"/>
        <v>12298.028819282426</v>
      </c>
      <c r="H10" s="203"/>
      <c r="I10" s="4">
        <f>H5*G10</f>
        <v>295152.69166277826</v>
      </c>
      <c r="J10" s="14"/>
    </row>
    <row r="11" spans="1:10" ht="16.5" thickBot="1" x14ac:dyDescent="0.3">
      <c r="A11" s="1"/>
      <c r="B11" s="3">
        <v>7</v>
      </c>
      <c r="C11" s="170" t="s">
        <v>204</v>
      </c>
      <c r="D11" s="171" t="s">
        <v>210</v>
      </c>
      <c r="E11" s="94">
        <f>'Item 7 - JVE 12x36 not.'!D174</f>
        <v>12319.166958960013</v>
      </c>
      <c r="F11" s="148">
        <v>1</v>
      </c>
      <c r="G11" s="4">
        <f t="shared" si="0"/>
        <v>12319.166958960013</v>
      </c>
      <c r="H11" s="203"/>
      <c r="I11" s="4">
        <f>H5*G11</f>
        <v>295660.00701504032</v>
      </c>
      <c r="J11" s="14"/>
    </row>
    <row r="12" spans="1:10" ht="16.5" thickBot="1" x14ac:dyDescent="0.3">
      <c r="A12" s="1"/>
      <c r="B12" s="3">
        <v>8</v>
      </c>
      <c r="C12" s="170" t="s">
        <v>204</v>
      </c>
      <c r="D12" s="171" t="s">
        <v>211</v>
      </c>
      <c r="E12" s="94">
        <f>'Item 8 - CCM 12x36 not.'!D174</f>
        <v>12588.742013591556</v>
      </c>
      <c r="F12" s="148">
        <v>1</v>
      </c>
      <c r="G12" s="4">
        <f t="shared" si="0"/>
        <v>12588.742013591556</v>
      </c>
      <c r="H12" s="203"/>
      <c r="I12" s="4">
        <f>H5*G12</f>
        <v>302129.80832619732</v>
      </c>
      <c r="J12" s="14"/>
    </row>
    <row r="13" spans="1:10" ht="16.5" thickBot="1" x14ac:dyDescent="0.3">
      <c r="A13" s="1"/>
      <c r="B13" s="3">
        <v>9</v>
      </c>
      <c r="C13" s="170" t="s">
        <v>204</v>
      </c>
      <c r="D13" s="171" t="s">
        <v>212</v>
      </c>
      <c r="E13" s="94">
        <f>'Item 9 - LGE 12x36 not.'!D174</f>
        <v>12620.53820101193</v>
      </c>
      <c r="F13" s="148">
        <v>1</v>
      </c>
      <c r="G13" s="4">
        <f t="shared" si="0"/>
        <v>12620.53820101193</v>
      </c>
      <c r="H13" s="203"/>
      <c r="I13" s="4">
        <f>H5*G13</f>
        <v>302892.91682428634</v>
      </c>
      <c r="J13" s="14"/>
    </row>
    <row r="14" spans="1:10" ht="16.5" thickBot="1" x14ac:dyDescent="0.3">
      <c r="A14" s="1"/>
      <c r="B14" s="3">
        <v>10</v>
      </c>
      <c r="C14" s="170" t="s">
        <v>204</v>
      </c>
      <c r="D14" s="171" t="s">
        <v>213</v>
      </c>
      <c r="E14" s="94">
        <f>'Item 10 - XAP 12x36 not.'!D174</f>
        <v>12407.58078067042</v>
      </c>
      <c r="F14" s="148">
        <v>1</v>
      </c>
      <c r="G14" s="4">
        <f t="shared" si="0"/>
        <v>12407.58078067042</v>
      </c>
      <c r="H14" s="203"/>
      <c r="I14" s="4">
        <f>H5*G14</f>
        <v>297781.93873609009</v>
      </c>
      <c r="J14" s="14"/>
    </row>
    <row r="15" spans="1:10" ht="16.5" thickBot="1" x14ac:dyDescent="0.3">
      <c r="A15" s="1"/>
      <c r="B15" s="3">
        <v>11</v>
      </c>
      <c r="C15" s="170" t="s">
        <v>204</v>
      </c>
      <c r="D15" s="171" t="s">
        <v>214</v>
      </c>
      <c r="E15" s="94">
        <f>'Item 11 - DCQ 12x36 not.'!D174</f>
        <v>12407.58078067042</v>
      </c>
      <c r="F15" s="148">
        <v>1</v>
      </c>
      <c r="G15" s="4">
        <f t="shared" si="0"/>
        <v>12407.58078067042</v>
      </c>
      <c r="H15" s="204"/>
      <c r="I15" s="4">
        <f>H5*G15</f>
        <v>297781.93873609009</v>
      </c>
      <c r="J15" s="14"/>
    </row>
    <row r="16" spans="1:10" ht="16.5" customHeight="1" thickBot="1" x14ac:dyDescent="0.3">
      <c r="A16" s="1"/>
      <c r="B16" s="190" t="s">
        <v>250</v>
      </c>
      <c r="C16" s="191"/>
      <c r="D16" s="191"/>
      <c r="E16" s="192"/>
      <c r="F16" s="5"/>
      <c r="G16" s="12">
        <f>ROUND((+SUM(G5:G15)),2)</f>
        <v>126755.24</v>
      </c>
      <c r="H16" s="12"/>
      <c r="I16" s="12">
        <f>SUM(I5:I15)</f>
        <v>3042125.7582761482</v>
      </c>
      <c r="J16" s="14"/>
    </row>
    <row r="17" spans="1:10" ht="26.25" customHeight="1" x14ac:dyDescent="0.25">
      <c r="A17" s="1"/>
      <c r="B17" s="1"/>
      <c r="C17" s="1"/>
      <c r="D17" s="1"/>
      <c r="E17" s="1"/>
      <c r="F17" s="1"/>
      <c r="G17" s="1"/>
      <c r="H17" s="1"/>
      <c r="I17" s="14"/>
      <c r="J17" s="1"/>
    </row>
    <row r="18" spans="1:10" hidden="1" x14ac:dyDescent="0.25"/>
    <row r="19" spans="1:10" hidden="1" x14ac:dyDescent="0.25"/>
  </sheetData>
  <mergeCells count="6">
    <mergeCell ref="B16:E16"/>
    <mergeCell ref="B2:I2"/>
    <mergeCell ref="B3:I3"/>
    <mergeCell ref="D5:D7"/>
    <mergeCell ref="H5:H15"/>
    <mergeCell ref="D8:D9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71588A-70DE-4C3B-B869-FEE86749124B}">
  <sheetPr codeName="Planilha8"/>
  <dimension ref="A1:WVO176"/>
  <sheetViews>
    <sheetView zoomScale="85" zoomScaleNormal="85" workbookViewId="0">
      <selection activeCell="A13" sqref="A13:D13"/>
    </sheetView>
  </sheetViews>
  <sheetFormatPr defaultColWidth="0" defaultRowHeight="15.75" customHeight="1" zeroHeight="1" outlineLevelRow="2" x14ac:dyDescent="0.3"/>
  <cols>
    <col min="1" max="1" width="18.7109375" style="21" customWidth="1"/>
    <col min="2" max="2" width="72" style="21" customWidth="1"/>
    <col min="3" max="3" width="22.85546875" style="21" customWidth="1"/>
    <col min="4" max="4" width="29.85546875" style="21" customWidth="1"/>
    <col min="5" max="5" width="11.85546875" style="81" customWidth="1"/>
    <col min="6" max="6" width="9.140625" style="81" customWidth="1"/>
    <col min="7" max="254" width="9.140625" style="81" hidden="1"/>
    <col min="255" max="255" width="18.7109375" style="81" hidden="1"/>
    <col min="256" max="256" width="72" style="81" hidden="1"/>
    <col min="257" max="257" width="22.85546875" style="81" hidden="1"/>
    <col min="258" max="258" width="29.85546875" style="81" hidden="1"/>
    <col min="259" max="260" width="9.140625" style="81" hidden="1"/>
    <col min="261" max="261" width="15.42578125" style="81" hidden="1"/>
    <col min="262" max="510" width="9.140625" style="81" hidden="1"/>
    <col min="511" max="511" width="18.7109375" style="81" hidden="1"/>
    <col min="512" max="512" width="72" style="81" hidden="1"/>
    <col min="513" max="513" width="22.85546875" style="81" hidden="1"/>
    <col min="514" max="514" width="29.85546875" style="81" hidden="1"/>
    <col min="515" max="516" width="9.140625" style="81" hidden="1"/>
    <col min="517" max="517" width="15.42578125" style="81" hidden="1"/>
    <col min="518" max="766" width="9.140625" style="81" hidden="1"/>
    <col min="767" max="767" width="18.7109375" style="81" hidden="1"/>
    <col min="768" max="768" width="72" style="81" hidden="1"/>
    <col min="769" max="769" width="22.85546875" style="81" hidden="1"/>
    <col min="770" max="770" width="29.85546875" style="81" hidden="1"/>
    <col min="771" max="772" width="9.140625" style="81" hidden="1"/>
    <col min="773" max="773" width="15.42578125" style="81" hidden="1"/>
    <col min="774" max="1022" width="9.140625" style="81" hidden="1"/>
    <col min="1023" max="1023" width="18.7109375" style="81" hidden="1"/>
    <col min="1024" max="1024" width="72" style="81" hidden="1"/>
    <col min="1025" max="1025" width="22.85546875" style="81" hidden="1"/>
    <col min="1026" max="1026" width="29.85546875" style="81" hidden="1"/>
    <col min="1027" max="1028" width="9.140625" style="81" hidden="1"/>
    <col min="1029" max="1029" width="15.42578125" style="81" hidden="1"/>
    <col min="1030" max="1278" width="9.140625" style="81" hidden="1"/>
    <col min="1279" max="1279" width="18.7109375" style="81" hidden="1"/>
    <col min="1280" max="1280" width="72" style="81" hidden="1"/>
    <col min="1281" max="1281" width="22.85546875" style="81" hidden="1"/>
    <col min="1282" max="1282" width="29.85546875" style="81" hidden="1"/>
    <col min="1283" max="1284" width="9.140625" style="81" hidden="1"/>
    <col min="1285" max="1285" width="15.42578125" style="81" hidden="1"/>
    <col min="1286" max="1534" width="9.140625" style="81" hidden="1"/>
    <col min="1535" max="1535" width="18.7109375" style="81" hidden="1"/>
    <col min="1536" max="1536" width="72" style="81" hidden="1"/>
    <col min="1537" max="1537" width="22.85546875" style="81" hidden="1"/>
    <col min="1538" max="1538" width="29.85546875" style="81" hidden="1"/>
    <col min="1539" max="1540" width="9.140625" style="81" hidden="1"/>
    <col min="1541" max="1541" width="15.42578125" style="81" hidden="1"/>
    <col min="1542" max="1790" width="9.140625" style="81" hidden="1"/>
    <col min="1791" max="1791" width="18.7109375" style="81" hidden="1"/>
    <col min="1792" max="1792" width="72" style="81" hidden="1"/>
    <col min="1793" max="1793" width="22.85546875" style="81" hidden="1"/>
    <col min="1794" max="1794" width="29.85546875" style="81" hidden="1"/>
    <col min="1795" max="1796" width="9.140625" style="81" hidden="1"/>
    <col min="1797" max="1797" width="15.42578125" style="81" hidden="1"/>
    <col min="1798" max="2046" width="9.140625" style="81" hidden="1"/>
    <col min="2047" max="2047" width="18.7109375" style="81" hidden="1"/>
    <col min="2048" max="2048" width="72" style="81" hidden="1"/>
    <col min="2049" max="2049" width="22.85546875" style="81" hidden="1"/>
    <col min="2050" max="2050" width="29.85546875" style="81" hidden="1"/>
    <col min="2051" max="2052" width="9.140625" style="81" hidden="1"/>
    <col min="2053" max="2053" width="15.42578125" style="81" hidden="1"/>
    <col min="2054" max="2302" width="9.140625" style="81" hidden="1"/>
    <col min="2303" max="2303" width="18.7109375" style="81" hidden="1"/>
    <col min="2304" max="2304" width="72" style="81" hidden="1"/>
    <col min="2305" max="2305" width="22.85546875" style="81" hidden="1"/>
    <col min="2306" max="2306" width="29.85546875" style="81" hidden="1"/>
    <col min="2307" max="2308" width="9.140625" style="81" hidden="1"/>
    <col min="2309" max="2309" width="15.42578125" style="81" hidden="1"/>
    <col min="2310" max="2558" width="9.140625" style="81" hidden="1"/>
    <col min="2559" max="2559" width="18.7109375" style="81" hidden="1"/>
    <col min="2560" max="2560" width="72" style="81" hidden="1"/>
    <col min="2561" max="2561" width="22.85546875" style="81" hidden="1"/>
    <col min="2562" max="2562" width="29.85546875" style="81" hidden="1"/>
    <col min="2563" max="2564" width="9.140625" style="81" hidden="1"/>
    <col min="2565" max="2565" width="15.42578125" style="81" hidden="1"/>
    <col min="2566" max="2814" width="9.140625" style="81" hidden="1"/>
    <col min="2815" max="2815" width="18.7109375" style="81" hidden="1"/>
    <col min="2816" max="2816" width="72" style="81" hidden="1"/>
    <col min="2817" max="2817" width="22.85546875" style="81" hidden="1"/>
    <col min="2818" max="2818" width="29.85546875" style="81" hidden="1"/>
    <col min="2819" max="2820" width="9.140625" style="81" hidden="1"/>
    <col min="2821" max="2821" width="15.42578125" style="81" hidden="1"/>
    <col min="2822" max="3070" width="9.140625" style="81" hidden="1"/>
    <col min="3071" max="3071" width="18.7109375" style="81" hidden="1"/>
    <col min="3072" max="3072" width="72" style="81" hidden="1"/>
    <col min="3073" max="3073" width="22.85546875" style="81" hidden="1"/>
    <col min="3074" max="3074" width="29.85546875" style="81" hidden="1"/>
    <col min="3075" max="3076" width="9.140625" style="81" hidden="1"/>
    <col min="3077" max="3077" width="15.42578125" style="81" hidden="1"/>
    <col min="3078" max="3326" width="9.140625" style="81" hidden="1"/>
    <col min="3327" max="3327" width="18.7109375" style="81" hidden="1"/>
    <col min="3328" max="3328" width="72" style="81" hidden="1"/>
    <col min="3329" max="3329" width="22.85546875" style="81" hidden="1"/>
    <col min="3330" max="3330" width="29.85546875" style="81" hidden="1"/>
    <col min="3331" max="3332" width="9.140625" style="81" hidden="1"/>
    <col min="3333" max="3333" width="15.42578125" style="81" hidden="1"/>
    <col min="3334" max="3582" width="9.140625" style="81" hidden="1"/>
    <col min="3583" max="3583" width="18.7109375" style="81" hidden="1"/>
    <col min="3584" max="3584" width="72" style="81" hidden="1"/>
    <col min="3585" max="3585" width="22.85546875" style="81" hidden="1"/>
    <col min="3586" max="3586" width="29.85546875" style="81" hidden="1"/>
    <col min="3587" max="3588" width="9.140625" style="81" hidden="1"/>
    <col min="3589" max="3589" width="15.42578125" style="81" hidden="1"/>
    <col min="3590" max="3838" width="9.140625" style="81" hidden="1"/>
    <col min="3839" max="3839" width="18.7109375" style="81" hidden="1"/>
    <col min="3840" max="3840" width="72" style="81" hidden="1"/>
    <col min="3841" max="3841" width="22.85546875" style="81" hidden="1"/>
    <col min="3842" max="3842" width="29.85546875" style="81" hidden="1"/>
    <col min="3843" max="3844" width="9.140625" style="81" hidden="1"/>
    <col min="3845" max="3845" width="15.42578125" style="81" hidden="1"/>
    <col min="3846" max="4094" width="9.140625" style="81" hidden="1"/>
    <col min="4095" max="4095" width="18.7109375" style="81" hidden="1"/>
    <col min="4096" max="4096" width="72" style="81" hidden="1"/>
    <col min="4097" max="4097" width="22.85546875" style="81" hidden="1"/>
    <col min="4098" max="4098" width="29.85546875" style="81" hidden="1"/>
    <col min="4099" max="4100" width="9.140625" style="81" hidden="1"/>
    <col min="4101" max="4101" width="15.42578125" style="81" hidden="1"/>
    <col min="4102" max="4350" width="9.140625" style="81" hidden="1"/>
    <col min="4351" max="4351" width="18.7109375" style="81" hidden="1"/>
    <col min="4352" max="4352" width="72" style="81" hidden="1"/>
    <col min="4353" max="4353" width="22.85546875" style="81" hidden="1"/>
    <col min="4354" max="4354" width="29.85546875" style="81" hidden="1"/>
    <col min="4355" max="4356" width="9.140625" style="81" hidden="1"/>
    <col min="4357" max="4357" width="15.42578125" style="81" hidden="1"/>
    <col min="4358" max="4606" width="9.140625" style="81" hidden="1"/>
    <col min="4607" max="4607" width="18.7109375" style="81" hidden="1"/>
    <col min="4608" max="4608" width="72" style="81" hidden="1"/>
    <col min="4609" max="4609" width="22.85546875" style="81" hidden="1"/>
    <col min="4610" max="4610" width="29.85546875" style="81" hidden="1"/>
    <col min="4611" max="4612" width="9.140625" style="81" hidden="1"/>
    <col min="4613" max="4613" width="15.42578125" style="81" hidden="1"/>
    <col min="4614" max="4862" width="9.140625" style="81" hidden="1"/>
    <col min="4863" max="4863" width="18.7109375" style="81" hidden="1"/>
    <col min="4864" max="4864" width="72" style="81" hidden="1"/>
    <col min="4865" max="4865" width="22.85546875" style="81" hidden="1"/>
    <col min="4866" max="4866" width="29.85546875" style="81" hidden="1"/>
    <col min="4867" max="4868" width="9.140625" style="81" hidden="1"/>
    <col min="4869" max="4869" width="15.42578125" style="81" hidden="1"/>
    <col min="4870" max="5118" width="9.140625" style="81" hidden="1"/>
    <col min="5119" max="5119" width="18.7109375" style="81" hidden="1"/>
    <col min="5120" max="5120" width="72" style="81" hidden="1"/>
    <col min="5121" max="5121" width="22.85546875" style="81" hidden="1"/>
    <col min="5122" max="5122" width="29.85546875" style="81" hidden="1"/>
    <col min="5123" max="5124" width="9.140625" style="81" hidden="1"/>
    <col min="5125" max="5125" width="15.42578125" style="81" hidden="1"/>
    <col min="5126" max="5374" width="9.140625" style="81" hidden="1"/>
    <col min="5375" max="5375" width="18.7109375" style="81" hidden="1"/>
    <col min="5376" max="5376" width="72" style="81" hidden="1"/>
    <col min="5377" max="5377" width="22.85546875" style="81" hidden="1"/>
    <col min="5378" max="5378" width="29.85546875" style="81" hidden="1"/>
    <col min="5379" max="5380" width="9.140625" style="81" hidden="1"/>
    <col min="5381" max="5381" width="15.42578125" style="81" hidden="1"/>
    <col min="5382" max="5630" width="9.140625" style="81" hidden="1"/>
    <col min="5631" max="5631" width="18.7109375" style="81" hidden="1"/>
    <col min="5632" max="5632" width="72" style="81" hidden="1"/>
    <col min="5633" max="5633" width="22.85546875" style="81" hidden="1"/>
    <col min="5634" max="5634" width="29.85546875" style="81" hidden="1"/>
    <col min="5635" max="5636" width="9.140625" style="81" hidden="1"/>
    <col min="5637" max="5637" width="15.42578125" style="81" hidden="1"/>
    <col min="5638" max="5886" width="9.140625" style="81" hidden="1"/>
    <col min="5887" max="5887" width="18.7109375" style="81" hidden="1"/>
    <col min="5888" max="5888" width="72" style="81" hidden="1"/>
    <col min="5889" max="5889" width="22.85546875" style="81" hidden="1"/>
    <col min="5890" max="5890" width="29.85546875" style="81" hidden="1"/>
    <col min="5891" max="5892" width="9.140625" style="81" hidden="1"/>
    <col min="5893" max="5893" width="15.42578125" style="81" hidden="1"/>
    <col min="5894" max="6142" width="9.140625" style="81" hidden="1"/>
    <col min="6143" max="6143" width="18.7109375" style="81" hidden="1"/>
    <col min="6144" max="6144" width="72" style="81" hidden="1"/>
    <col min="6145" max="6145" width="22.85546875" style="81" hidden="1"/>
    <col min="6146" max="6146" width="29.85546875" style="81" hidden="1"/>
    <col min="6147" max="6148" width="9.140625" style="81" hidden="1"/>
    <col min="6149" max="6149" width="15.42578125" style="81" hidden="1"/>
    <col min="6150" max="6398" width="9.140625" style="81" hidden="1"/>
    <col min="6399" max="6399" width="18.7109375" style="81" hidden="1"/>
    <col min="6400" max="6400" width="72" style="81" hidden="1"/>
    <col min="6401" max="6401" width="22.85546875" style="81" hidden="1"/>
    <col min="6402" max="6402" width="29.85546875" style="81" hidden="1"/>
    <col min="6403" max="6404" width="9.140625" style="81" hidden="1"/>
    <col min="6405" max="6405" width="15.42578125" style="81" hidden="1"/>
    <col min="6406" max="6654" width="9.140625" style="81" hidden="1"/>
    <col min="6655" max="6655" width="18.7109375" style="81" hidden="1"/>
    <col min="6656" max="6656" width="72" style="81" hidden="1"/>
    <col min="6657" max="6657" width="22.85546875" style="81" hidden="1"/>
    <col min="6658" max="6658" width="29.85546875" style="81" hidden="1"/>
    <col min="6659" max="6660" width="9.140625" style="81" hidden="1"/>
    <col min="6661" max="6661" width="15.42578125" style="81" hidden="1"/>
    <col min="6662" max="6910" width="9.140625" style="81" hidden="1"/>
    <col min="6911" max="6911" width="18.7109375" style="81" hidden="1"/>
    <col min="6912" max="6912" width="72" style="81" hidden="1"/>
    <col min="6913" max="6913" width="22.85546875" style="81" hidden="1"/>
    <col min="6914" max="6914" width="29.85546875" style="81" hidden="1"/>
    <col min="6915" max="6916" width="9.140625" style="81" hidden="1"/>
    <col min="6917" max="6917" width="15.42578125" style="81" hidden="1"/>
    <col min="6918" max="7166" width="9.140625" style="81" hidden="1"/>
    <col min="7167" max="7167" width="18.7109375" style="81" hidden="1"/>
    <col min="7168" max="7168" width="72" style="81" hidden="1"/>
    <col min="7169" max="7169" width="22.85546875" style="81" hidden="1"/>
    <col min="7170" max="7170" width="29.85546875" style="81" hidden="1"/>
    <col min="7171" max="7172" width="9.140625" style="81" hidden="1"/>
    <col min="7173" max="7173" width="15.42578125" style="81" hidden="1"/>
    <col min="7174" max="7422" width="9.140625" style="81" hidden="1"/>
    <col min="7423" max="7423" width="18.7109375" style="81" hidden="1"/>
    <col min="7424" max="7424" width="72" style="81" hidden="1"/>
    <col min="7425" max="7425" width="22.85546875" style="81" hidden="1"/>
    <col min="7426" max="7426" width="29.85546875" style="81" hidden="1"/>
    <col min="7427" max="7428" width="9.140625" style="81" hidden="1"/>
    <col min="7429" max="7429" width="15.42578125" style="81" hidden="1"/>
    <col min="7430" max="7678" width="9.140625" style="81" hidden="1"/>
    <col min="7679" max="7679" width="18.7109375" style="81" hidden="1"/>
    <col min="7680" max="7680" width="72" style="81" hidden="1"/>
    <col min="7681" max="7681" width="22.85546875" style="81" hidden="1"/>
    <col min="7682" max="7682" width="29.85546875" style="81" hidden="1"/>
    <col min="7683" max="7684" width="9.140625" style="81" hidden="1"/>
    <col min="7685" max="7685" width="15.42578125" style="81" hidden="1"/>
    <col min="7686" max="7934" width="9.140625" style="81" hidden="1"/>
    <col min="7935" max="7935" width="18.7109375" style="81" hidden="1"/>
    <col min="7936" max="7936" width="72" style="81" hidden="1"/>
    <col min="7937" max="7937" width="22.85546875" style="81" hidden="1"/>
    <col min="7938" max="7938" width="29.85546875" style="81" hidden="1"/>
    <col min="7939" max="7940" width="9.140625" style="81" hidden="1"/>
    <col min="7941" max="7941" width="15.42578125" style="81" hidden="1"/>
    <col min="7942" max="8190" width="9.140625" style="81" hidden="1"/>
    <col min="8191" max="8191" width="18.7109375" style="81" hidden="1"/>
    <col min="8192" max="8192" width="72" style="81" hidden="1"/>
    <col min="8193" max="8193" width="22.85546875" style="81" hidden="1"/>
    <col min="8194" max="8194" width="29.85546875" style="81" hidden="1"/>
    <col min="8195" max="8196" width="9.140625" style="81" hidden="1"/>
    <col min="8197" max="8197" width="15.42578125" style="81" hidden="1"/>
    <col min="8198" max="8446" width="9.140625" style="81" hidden="1"/>
    <col min="8447" max="8447" width="18.7109375" style="81" hidden="1"/>
    <col min="8448" max="8448" width="72" style="81" hidden="1"/>
    <col min="8449" max="8449" width="22.85546875" style="81" hidden="1"/>
    <col min="8450" max="8450" width="29.85546875" style="81" hidden="1"/>
    <col min="8451" max="8452" width="9.140625" style="81" hidden="1"/>
    <col min="8453" max="8453" width="15.42578125" style="81" hidden="1"/>
    <col min="8454" max="8702" width="9.140625" style="81" hidden="1"/>
    <col min="8703" max="8703" width="18.7109375" style="81" hidden="1"/>
    <col min="8704" max="8704" width="72" style="81" hidden="1"/>
    <col min="8705" max="8705" width="22.85546875" style="81" hidden="1"/>
    <col min="8706" max="8706" width="29.85546875" style="81" hidden="1"/>
    <col min="8707" max="8708" width="9.140625" style="81" hidden="1"/>
    <col min="8709" max="8709" width="15.42578125" style="81" hidden="1"/>
    <col min="8710" max="8958" width="9.140625" style="81" hidden="1"/>
    <col min="8959" max="8959" width="18.7109375" style="81" hidden="1"/>
    <col min="8960" max="8960" width="72" style="81" hidden="1"/>
    <col min="8961" max="8961" width="22.85546875" style="81" hidden="1"/>
    <col min="8962" max="8962" width="29.85546875" style="81" hidden="1"/>
    <col min="8963" max="8964" width="9.140625" style="81" hidden="1"/>
    <col min="8965" max="8965" width="15.42578125" style="81" hidden="1"/>
    <col min="8966" max="9214" width="9.140625" style="81" hidden="1"/>
    <col min="9215" max="9215" width="18.7109375" style="81" hidden="1"/>
    <col min="9216" max="9216" width="72" style="81" hidden="1"/>
    <col min="9217" max="9217" width="22.85546875" style="81" hidden="1"/>
    <col min="9218" max="9218" width="29.85546875" style="81" hidden="1"/>
    <col min="9219" max="9220" width="9.140625" style="81" hidden="1"/>
    <col min="9221" max="9221" width="15.42578125" style="81" hidden="1"/>
    <col min="9222" max="9470" width="9.140625" style="81" hidden="1"/>
    <col min="9471" max="9471" width="18.7109375" style="81" hidden="1"/>
    <col min="9472" max="9472" width="72" style="81" hidden="1"/>
    <col min="9473" max="9473" width="22.85546875" style="81" hidden="1"/>
    <col min="9474" max="9474" width="29.85546875" style="81" hidden="1"/>
    <col min="9475" max="9476" width="9.140625" style="81" hidden="1"/>
    <col min="9477" max="9477" width="15.42578125" style="81" hidden="1"/>
    <col min="9478" max="9726" width="9.140625" style="81" hidden="1"/>
    <col min="9727" max="9727" width="18.7109375" style="81" hidden="1"/>
    <col min="9728" max="9728" width="72" style="81" hidden="1"/>
    <col min="9729" max="9729" width="22.85546875" style="81" hidden="1"/>
    <col min="9730" max="9730" width="29.85546875" style="81" hidden="1"/>
    <col min="9731" max="9732" width="9.140625" style="81" hidden="1"/>
    <col min="9733" max="9733" width="15.42578125" style="81" hidden="1"/>
    <col min="9734" max="9982" width="9.140625" style="81" hidden="1"/>
    <col min="9983" max="9983" width="18.7109375" style="81" hidden="1"/>
    <col min="9984" max="9984" width="72" style="81" hidden="1"/>
    <col min="9985" max="9985" width="22.85546875" style="81" hidden="1"/>
    <col min="9986" max="9986" width="29.85546875" style="81" hidden="1"/>
    <col min="9987" max="9988" width="9.140625" style="81" hidden="1"/>
    <col min="9989" max="9989" width="15.42578125" style="81" hidden="1"/>
    <col min="9990" max="10238" width="9.140625" style="81" hidden="1"/>
    <col min="10239" max="10239" width="18.7109375" style="81" hidden="1"/>
    <col min="10240" max="10240" width="72" style="81" hidden="1"/>
    <col min="10241" max="10241" width="22.85546875" style="81" hidden="1"/>
    <col min="10242" max="10242" width="29.85546875" style="81" hidden="1"/>
    <col min="10243" max="10244" width="9.140625" style="81" hidden="1"/>
    <col min="10245" max="10245" width="15.42578125" style="81" hidden="1"/>
    <col min="10246" max="10494" width="9.140625" style="81" hidden="1"/>
    <col min="10495" max="10495" width="18.7109375" style="81" hidden="1"/>
    <col min="10496" max="10496" width="72" style="81" hidden="1"/>
    <col min="10497" max="10497" width="22.85546875" style="81" hidden="1"/>
    <col min="10498" max="10498" width="29.85546875" style="81" hidden="1"/>
    <col min="10499" max="10500" width="9.140625" style="81" hidden="1"/>
    <col min="10501" max="10501" width="15.42578125" style="81" hidden="1"/>
    <col min="10502" max="10750" width="9.140625" style="81" hidden="1"/>
    <col min="10751" max="10751" width="18.7109375" style="81" hidden="1"/>
    <col min="10752" max="10752" width="72" style="81" hidden="1"/>
    <col min="10753" max="10753" width="22.85546875" style="81" hidden="1"/>
    <col min="10754" max="10754" width="29.85546875" style="81" hidden="1"/>
    <col min="10755" max="10756" width="9.140625" style="81" hidden="1"/>
    <col min="10757" max="10757" width="15.42578125" style="81" hidden="1"/>
    <col min="10758" max="11006" width="9.140625" style="81" hidden="1"/>
    <col min="11007" max="11007" width="18.7109375" style="81" hidden="1"/>
    <col min="11008" max="11008" width="72" style="81" hidden="1"/>
    <col min="11009" max="11009" width="22.85546875" style="81" hidden="1"/>
    <col min="11010" max="11010" width="29.85546875" style="81" hidden="1"/>
    <col min="11011" max="11012" width="9.140625" style="81" hidden="1"/>
    <col min="11013" max="11013" width="15.42578125" style="81" hidden="1"/>
    <col min="11014" max="11262" width="9.140625" style="81" hidden="1"/>
    <col min="11263" max="11263" width="18.7109375" style="81" hidden="1"/>
    <col min="11264" max="11264" width="72" style="81" hidden="1"/>
    <col min="11265" max="11265" width="22.85546875" style="81" hidden="1"/>
    <col min="11266" max="11266" width="29.85546875" style="81" hidden="1"/>
    <col min="11267" max="11268" width="9.140625" style="81" hidden="1"/>
    <col min="11269" max="11269" width="15.42578125" style="81" hidden="1"/>
    <col min="11270" max="11518" width="9.140625" style="81" hidden="1"/>
    <col min="11519" max="11519" width="18.7109375" style="81" hidden="1"/>
    <col min="11520" max="11520" width="72" style="81" hidden="1"/>
    <col min="11521" max="11521" width="22.85546875" style="81" hidden="1"/>
    <col min="11522" max="11522" width="29.85546875" style="81" hidden="1"/>
    <col min="11523" max="11524" width="9.140625" style="81" hidden="1"/>
    <col min="11525" max="11525" width="15.42578125" style="81" hidden="1"/>
    <col min="11526" max="11774" width="9.140625" style="81" hidden="1"/>
    <col min="11775" max="11775" width="18.7109375" style="81" hidden="1"/>
    <col min="11776" max="11776" width="72" style="81" hidden="1"/>
    <col min="11777" max="11777" width="22.85546875" style="81" hidden="1"/>
    <col min="11778" max="11778" width="29.85546875" style="81" hidden="1"/>
    <col min="11779" max="11780" width="9.140625" style="81" hidden="1"/>
    <col min="11781" max="11781" width="15.42578125" style="81" hidden="1"/>
    <col min="11782" max="12030" width="9.140625" style="81" hidden="1"/>
    <col min="12031" max="12031" width="18.7109375" style="81" hidden="1"/>
    <col min="12032" max="12032" width="72" style="81" hidden="1"/>
    <col min="12033" max="12033" width="22.85546875" style="81" hidden="1"/>
    <col min="12034" max="12034" width="29.85546875" style="81" hidden="1"/>
    <col min="12035" max="12036" width="9.140625" style="81" hidden="1"/>
    <col min="12037" max="12037" width="15.42578125" style="81" hidden="1"/>
    <col min="12038" max="12286" width="9.140625" style="81" hidden="1"/>
    <col min="12287" max="12287" width="18.7109375" style="81" hidden="1"/>
    <col min="12288" max="12288" width="72" style="81" hidden="1"/>
    <col min="12289" max="12289" width="22.85546875" style="81" hidden="1"/>
    <col min="12290" max="12290" width="29.85546875" style="81" hidden="1"/>
    <col min="12291" max="12292" width="9.140625" style="81" hidden="1"/>
    <col min="12293" max="12293" width="15.42578125" style="81" hidden="1"/>
    <col min="12294" max="12542" width="9.140625" style="81" hidden="1"/>
    <col min="12543" max="12543" width="18.7109375" style="81" hidden="1"/>
    <col min="12544" max="12544" width="72" style="81" hidden="1"/>
    <col min="12545" max="12545" width="22.85546875" style="81" hidden="1"/>
    <col min="12546" max="12546" width="29.85546875" style="81" hidden="1"/>
    <col min="12547" max="12548" width="9.140625" style="81" hidden="1"/>
    <col min="12549" max="12549" width="15.42578125" style="81" hidden="1"/>
    <col min="12550" max="12798" width="9.140625" style="81" hidden="1"/>
    <col min="12799" max="12799" width="18.7109375" style="81" hidden="1"/>
    <col min="12800" max="12800" width="72" style="81" hidden="1"/>
    <col min="12801" max="12801" width="22.85546875" style="81" hidden="1"/>
    <col min="12802" max="12802" width="29.85546875" style="81" hidden="1"/>
    <col min="12803" max="12804" width="9.140625" style="81" hidden="1"/>
    <col min="12805" max="12805" width="15.42578125" style="81" hidden="1"/>
    <col min="12806" max="13054" width="9.140625" style="81" hidden="1"/>
    <col min="13055" max="13055" width="18.7109375" style="81" hidden="1"/>
    <col min="13056" max="13056" width="72" style="81" hidden="1"/>
    <col min="13057" max="13057" width="22.85546875" style="81" hidden="1"/>
    <col min="13058" max="13058" width="29.85546875" style="81" hidden="1"/>
    <col min="13059" max="13060" width="9.140625" style="81" hidden="1"/>
    <col min="13061" max="13061" width="15.42578125" style="81" hidden="1"/>
    <col min="13062" max="13310" width="9.140625" style="81" hidden="1"/>
    <col min="13311" max="13311" width="18.7109375" style="81" hidden="1"/>
    <col min="13312" max="13312" width="72" style="81" hidden="1"/>
    <col min="13313" max="13313" width="22.85546875" style="81" hidden="1"/>
    <col min="13314" max="13314" width="29.85546875" style="81" hidden="1"/>
    <col min="13315" max="13316" width="9.140625" style="81" hidden="1"/>
    <col min="13317" max="13317" width="15.42578125" style="81" hidden="1"/>
    <col min="13318" max="13566" width="9.140625" style="81" hidden="1"/>
    <col min="13567" max="13567" width="18.7109375" style="81" hidden="1"/>
    <col min="13568" max="13568" width="72" style="81" hidden="1"/>
    <col min="13569" max="13569" width="22.85546875" style="81" hidden="1"/>
    <col min="13570" max="13570" width="29.85546875" style="81" hidden="1"/>
    <col min="13571" max="13572" width="9.140625" style="81" hidden="1"/>
    <col min="13573" max="13573" width="15.42578125" style="81" hidden="1"/>
    <col min="13574" max="13822" width="9.140625" style="81" hidden="1"/>
    <col min="13823" max="13823" width="18.7109375" style="81" hidden="1"/>
    <col min="13824" max="13824" width="72" style="81" hidden="1"/>
    <col min="13825" max="13825" width="22.85546875" style="81" hidden="1"/>
    <col min="13826" max="13826" width="29.85546875" style="81" hidden="1"/>
    <col min="13827" max="13828" width="9.140625" style="81" hidden="1"/>
    <col min="13829" max="13829" width="15.42578125" style="81" hidden="1"/>
    <col min="13830" max="14078" width="9.140625" style="81" hidden="1"/>
    <col min="14079" max="14079" width="18.7109375" style="81" hidden="1"/>
    <col min="14080" max="14080" width="72" style="81" hidden="1"/>
    <col min="14081" max="14081" width="22.85546875" style="81" hidden="1"/>
    <col min="14082" max="14082" width="29.85546875" style="81" hidden="1"/>
    <col min="14083" max="14084" width="9.140625" style="81" hidden="1"/>
    <col min="14085" max="14085" width="15.42578125" style="81" hidden="1"/>
    <col min="14086" max="14334" width="9.140625" style="81" hidden="1"/>
    <col min="14335" max="14335" width="18.7109375" style="81" hidden="1"/>
    <col min="14336" max="14336" width="72" style="81" hidden="1"/>
    <col min="14337" max="14337" width="22.85546875" style="81" hidden="1"/>
    <col min="14338" max="14338" width="29.85546875" style="81" hidden="1"/>
    <col min="14339" max="14340" width="9.140625" style="81" hidden="1"/>
    <col min="14341" max="14341" width="15.42578125" style="81" hidden="1"/>
    <col min="14342" max="14590" width="9.140625" style="81" hidden="1"/>
    <col min="14591" max="14591" width="18.7109375" style="81" hidden="1"/>
    <col min="14592" max="14592" width="72" style="81" hidden="1"/>
    <col min="14593" max="14593" width="22.85546875" style="81" hidden="1"/>
    <col min="14594" max="14594" width="29.85546875" style="81" hidden="1"/>
    <col min="14595" max="14596" width="9.140625" style="81" hidden="1"/>
    <col min="14597" max="14597" width="15.42578125" style="81" hidden="1"/>
    <col min="14598" max="14846" width="9.140625" style="81" hidden="1"/>
    <col min="14847" max="14847" width="18.7109375" style="81" hidden="1"/>
    <col min="14848" max="14848" width="72" style="81" hidden="1"/>
    <col min="14849" max="14849" width="22.85546875" style="81" hidden="1"/>
    <col min="14850" max="14850" width="29.85546875" style="81" hidden="1"/>
    <col min="14851" max="14852" width="9.140625" style="81" hidden="1"/>
    <col min="14853" max="14853" width="15.42578125" style="81" hidden="1"/>
    <col min="14854" max="15102" width="9.140625" style="81" hidden="1"/>
    <col min="15103" max="15103" width="18.7109375" style="81" hidden="1"/>
    <col min="15104" max="15104" width="72" style="81" hidden="1"/>
    <col min="15105" max="15105" width="22.85546875" style="81" hidden="1"/>
    <col min="15106" max="15106" width="29.85546875" style="81" hidden="1"/>
    <col min="15107" max="15108" width="9.140625" style="81" hidden="1"/>
    <col min="15109" max="15109" width="15.42578125" style="81" hidden="1"/>
    <col min="15110" max="15358" width="9.140625" style="81" hidden="1"/>
    <col min="15359" max="15359" width="18.7109375" style="81" hidden="1"/>
    <col min="15360" max="15360" width="72" style="81" hidden="1"/>
    <col min="15361" max="15361" width="22.85546875" style="81" hidden="1"/>
    <col min="15362" max="15362" width="29.85546875" style="81" hidden="1"/>
    <col min="15363" max="15364" width="9.140625" style="81" hidden="1"/>
    <col min="15365" max="15365" width="15.42578125" style="81" hidden="1"/>
    <col min="15366" max="15614" width="9.140625" style="81" hidden="1"/>
    <col min="15615" max="15615" width="18.7109375" style="81" hidden="1"/>
    <col min="15616" max="15616" width="72" style="81" hidden="1"/>
    <col min="15617" max="15617" width="22.85546875" style="81" hidden="1"/>
    <col min="15618" max="15618" width="29.85546875" style="81" hidden="1"/>
    <col min="15619" max="15620" width="9.140625" style="81" hidden="1"/>
    <col min="15621" max="15621" width="15.42578125" style="81" hidden="1"/>
    <col min="15622" max="15870" width="9.140625" style="81" hidden="1"/>
    <col min="15871" max="15871" width="18.7109375" style="81" hidden="1"/>
    <col min="15872" max="15872" width="72" style="81" hidden="1"/>
    <col min="15873" max="15873" width="22.85546875" style="81" hidden="1"/>
    <col min="15874" max="15874" width="29.85546875" style="81" hidden="1"/>
    <col min="15875" max="15876" width="9.140625" style="81" hidden="1"/>
    <col min="15877" max="15877" width="15.42578125" style="81" hidden="1"/>
    <col min="15878" max="16126" width="9.140625" style="81" hidden="1"/>
    <col min="16127" max="16127" width="18.7109375" style="81" hidden="1"/>
    <col min="16128" max="16128" width="72" style="81" hidden="1"/>
    <col min="16129" max="16129" width="22.85546875" style="81" hidden="1"/>
    <col min="16130" max="16130" width="29.85546875" style="81" hidden="1"/>
    <col min="16131" max="16132" width="9.140625" style="81" hidden="1"/>
    <col min="16133" max="16135" width="15.42578125" style="81" hidden="1"/>
    <col min="16136" max="16384" width="9.140625" style="81" hidden="1"/>
  </cols>
  <sheetData>
    <row r="1" spans="1:7" x14ac:dyDescent="0.3">
      <c r="A1" s="251" t="s">
        <v>9</v>
      </c>
      <c r="B1" s="251"/>
      <c r="C1" s="251"/>
      <c r="D1" s="251"/>
      <c r="E1" s="20"/>
      <c r="F1" s="20"/>
      <c r="G1" s="20"/>
    </row>
    <row r="2" spans="1:7" x14ac:dyDescent="0.3">
      <c r="A2" s="252" t="s">
        <v>15</v>
      </c>
      <c r="B2" s="252"/>
      <c r="C2" s="253" t="s">
        <v>221</v>
      </c>
      <c r="D2" s="254"/>
      <c r="E2" s="20"/>
      <c r="F2" s="20"/>
      <c r="G2" s="20"/>
    </row>
    <row r="3" spans="1:7" x14ac:dyDescent="0.3">
      <c r="A3" s="252" t="s">
        <v>16</v>
      </c>
      <c r="B3" s="252"/>
      <c r="C3" s="253" t="s">
        <v>198</v>
      </c>
      <c r="D3" s="254"/>
      <c r="E3" s="20"/>
      <c r="F3" s="20"/>
      <c r="G3" s="20"/>
    </row>
    <row r="4" spans="1:7" x14ac:dyDescent="0.3">
      <c r="A4" s="250"/>
      <c r="B4" s="250"/>
      <c r="C4" s="250"/>
      <c r="D4" s="250"/>
      <c r="E4" s="20"/>
      <c r="F4" s="20"/>
      <c r="G4" s="20"/>
    </row>
    <row r="5" spans="1:7" x14ac:dyDescent="0.3">
      <c r="A5" s="250" t="s">
        <v>17</v>
      </c>
      <c r="B5" s="250"/>
      <c r="C5" s="250"/>
      <c r="D5" s="250"/>
      <c r="E5" s="20"/>
      <c r="F5" s="20"/>
      <c r="G5" s="20"/>
    </row>
    <row r="6" spans="1:7" x14ac:dyDescent="0.3">
      <c r="A6" s="156" t="s">
        <v>18</v>
      </c>
      <c r="B6" s="158" t="s">
        <v>8</v>
      </c>
      <c r="C6" s="257" t="s">
        <v>96</v>
      </c>
      <c r="D6" s="258"/>
      <c r="E6" s="20"/>
      <c r="F6" s="20"/>
      <c r="G6" s="20"/>
    </row>
    <row r="7" spans="1:7" x14ac:dyDescent="0.3">
      <c r="A7" s="156" t="s">
        <v>19</v>
      </c>
      <c r="B7" s="158" t="s">
        <v>7</v>
      </c>
      <c r="C7" s="259" t="s">
        <v>256</v>
      </c>
      <c r="D7" s="259"/>
      <c r="E7" s="20"/>
      <c r="F7" s="20"/>
      <c r="G7" s="20"/>
    </row>
    <row r="8" spans="1:7" x14ac:dyDescent="0.3">
      <c r="A8" s="22" t="s">
        <v>20</v>
      </c>
      <c r="B8" s="23" t="s">
        <v>21</v>
      </c>
      <c r="C8" s="260" t="s">
        <v>222</v>
      </c>
      <c r="D8" s="261"/>
      <c r="E8" s="20"/>
      <c r="F8" s="20"/>
      <c r="G8" s="20"/>
    </row>
    <row r="9" spans="1:7" x14ac:dyDescent="0.3">
      <c r="A9" s="156" t="s">
        <v>22</v>
      </c>
      <c r="B9" s="158" t="s">
        <v>23</v>
      </c>
      <c r="C9" s="255" t="s">
        <v>24</v>
      </c>
      <c r="D9" s="256"/>
      <c r="E9" s="20"/>
      <c r="F9" s="20"/>
      <c r="G9" s="20"/>
    </row>
    <row r="10" spans="1:7" x14ac:dyDescent="0.3">
      <c r="A10" s="156" t="s">
        <v>25</v>
      </c>
      <c r="B10" s="158" t="s">
        <v>26</v>
      </c>
      <c r="C10" s="255" t="s">
        <v>199</v>
      </c>
      <c r="D10" s="256"/>
      <c r="E10" s="20"/>
      <c r="F10" s="20"/>
      <c r="G10" s="20"/>
    </row>
    <row r="11" spans="1:7" x14ac:dyDescent="0.3">
      <c r="A11" s="156" t="s">
        <v>27</v>
      </c>
      <c r="B11" s="158" t="s">
        <v>28</v>
      </c>
      <c r="C11" s="262">
        <f>Proposta!F5</f>
        <v>1</v>
      </c>
      <c r="D11" s="263"/>
      <c r="E11" s="20"/>
      <c r="F11" s="20"/>
      <c r="G11" s="20"/>
    </row>
    <row r="12" spans="1:7" x14ac:dyDescent="0.3">
      <c r="A12" s="156" t="s">
        <v>29</v>
      </c>
      <c r="B12" s="158" t="s">
        <v>30</v>
      </c>
      <c r="C12" s="264">
        <f>Proposta!H5</f>
        <v>24</v>
      </c>
      <c r="D12" s="265"/>
      <c r="E12" s="20"/>
      <c r="F12" s="20"/>
      <c r="G12" s="20"/>
    </row>
    <row r="13" spans="1:7" x14ac:dyDescent="0.3">
      <c r="A13" s="266"/>
      <c r="B13" s="267"/>
      <c r="C13" s="267"/>
      <c r="D13" s="267"/>
      <c r="E13" s="20"/>
      <c r="F13" s="20"/>
      <c r="G13" s="20"/>
    </row>
    <row r="14" spans="1:7" x14ac:dyDescent="0.3">
      <c r="A14" s="268" t="s">
        <v>31</v>
      </c>
      <c r="B14" s="269"/>
      <c r="C14" s="269"/>
      <c r="D14" s="270"/>
      <c r="E14" s="20"/>
      <c r="F14" s="20"/>
      <c r="G14" s="20"/>
    </row>
    <row r="15" spans="1:7" x14ac:dyDescent="0.3">
      <c r="A15" s="259" t="s">
        <v>32</v>
      </c>
      <c r="B15" s="259"/>
      <c r="C15" s="259"/>
      <c r="D15" s="259"/>
      <c r="E15" s="20"/>
      <c r="F15" s="20"/>
      <c r="G15" s="20"/>
    </row>
    <row r="16" spans="1:7" x14ac:dyDescent="0.3">
      <c r="A16" s="156">
        <v>1</v>
      </c>
      <c r="B16" s="158" t="s">
        <v>33</v>
      </c>
      <c r="C16" s="255" t="s">
        <v>1</v>
      </c>
      <c r="D16" s="256" t="s">
        <v>1</v>
      </c>
      <c r="E16" s="20"/>
      <c r="F16" s="20"/>
      <c r="G16" s="20"/>
    </row>
    <row r="17" spans="1:7" x14ac:dyDescent="0.3">
      <c r="A17" s="156"/>
      <c r="B17" s="147" t="s">
        <v>253</v>
      </c>
      <c r="C17" s="272">
        <v>2</v>
      </c>
      <c r="D17" s="265">
        <v>1</v>
      </c>
      <c r="E17" s="20"/>
      <c r="F17" s="20"/>
      <c r="G17" s="20"/>
    </row>
    <row r="18" spans="1:7" x14ac:dyDescent="0.3">
      <c r="A18" s="156">
        <v>2</v>
      </c>
      <c r="B18" s="24" t="s">
        <v>34</v>
      </c>
      <c r="C18" s="273" t="s">
        <v>200</v>
      </c>
      <c r="D18" s="274"/>
      <c r="E18" s="20"/>
      <c r="F18" s="20"/>
      <c r="G18" s="20"/>
    </row>
    <row r="19" spans="1:7" x14ac:dyDescent="0.3">
      <c r="A19" s="259" t="s">
        <v>35</v>
      </c>
      <c r="B19" s="259"/>
      <c r="C19" s="259"/>
      <c r="D19" s="259"/>
      <c r="E19" s="20"/>
      <c r="F19" s="20"/>
      <c r="G19" s="20"/>
    </row>
    <row r="20" spans="1:7" x14ac:dyDescent="0.3">
      <c r="A20" s="156">
        <v>3</v>
      </c>
      <c r="B20" s="275" t="s">
        <v>6</v>
      </c>
      <c r="C20" s="276"/>
      <c r="D20" s="173">
        <v>1664.83</v>
      </c>
      <c r="E20" s="20"/>
      <c r="F20" s="20"/>
      <c r="G20" s="20"/>
    </row>
    <row r="21" spans="1:7" x14ac:dyDescent="0.3">
      <c r="A21" s="156">
        <v>4</v>
      </c>
      <c r="B21" s="275" t="s">
        <v>36</v>
      </c>
      <c r="C21" s="276"/>
      <c r="D21" s="174" t="s">
        <v>201</v>
      </c>
      <c r="E21" s="20"/>
      <c r="F21" s="20"/>
      <c r="G21" s="20"/>
    </row>
    <row r="22" spans="1:7" x14ac:dyDescent="0.3">
      <c r="A22" s="156">
        <v>5</v>
      </c>
      <c r="B22" s="275" t="s">
        <v>5</v>
      </c>
      <c r="C22" s="276"/>
      <c r="D22" s="175">
        <v>44228</v>
      </c>
      <c r="E22" s="20"/>
      <c r="F22" s="20"/>
      <c r="G22" s="20"/>
    </row>
    <row r="23" spans="1:7" x14ac:dyDescent="0.3">
      <c r="A23" s="255"/>
      <c r="B23" s="277"/>
      <c r="C23" s="277"/>
      <c r="D23" s="256"/>
      <c r="E23" s="20"/>
      <c r="F23" s="20"/>
      <c r="G23" s="20"/>
    </row>
    <row r="24" spans="1:7" x14ac:dyDescent="0.3">
      <c r="A24" s="278" t="s">
        <v>37</v>
      </c>
      <c r="B24" s="278"/>
      <c r="C24" s="278"/>
      <c r="D24" s="278"/>
      <c r="E24" s="20"/>
      <c r="F24" s="20"/>
      <c r="G24" s="20"/>
    </row>
    <row r="25" spans="1:7" hidden="1" outlineLevel="1" x14ac:dyDescent="0.3">
      <c r="A25" s="272"/>
      <c r="B25" s="279"/>
      <c r="C25" s="279"/>
      <c r="D25" s="265"/>
      <c r="E25" s="20"/>
      <c r="F25" s="20"/>
      <c r="G25" s="20"/>
    </row>
    <row r="26" spans="1:7" hidden="1" outlineLevel="1" x14ac:dyDescent="0.3">
      <c r="A26" s="157">
        <v>1</v>
      </c>
      <c r="B26" s="280" t="s">
        <v>38</v>
      </c>
      <c r="C26" s="281"/>
      <c r="D26" s="157" t="s">
        <v>39</v>
      </c>
      <c r="E26" s="20"/>
      <c r="F26" s="20"/>
      <c r="G26" s="20"/>
    </row>
    <row r="27" spans="1:7" hidden="1" outlineLevel="1" x14ac:dyDescent="0.3">
      <c r="A27" s="156" t="s">
        <v>40</v>
      </c>
      <c r="B27" s="158" t="s">
        <v>245</v>
      </c>
      <c r="C27" s="167">
        <v>220</v>
      </c>
      <c r="D27" s="25">
        <f>D20/220*C27</f>
        <v>1664.83</v>
      </c>
      <c r="E27" s="20"/>
      <c r="F27" s="20"/>
      <c r="G27" s="20"/>
    </row>
    <row r="28" spans="1:7" hidden="1" outlineLevel="1" x14ac:dyDescent="0.3">
      <c r="A28" s="156" t="s">
        <v>19</v>
      </c>
      <c r="B28" s="158" t="s">
        <v>223</v>
      </c>
      <c r="C28" s="26">
        <v>0.3</v>
      </c>
      <c r="D28" s="25">
        <f>C28*D27</f>
        <v>499.44899999999996</v>
      </c>
      <c r="E28" s="20"/>
      <c r="F28" s="20"/>
      <c r="G28" s="20"/>
    </row>
    <row r="29" spans="1:7" hidden="1" outlineLevel="1" x14ac:dyDescent="0.3">
      <c r="A29" s="156" t="s">
        <v>20</v>
      </c>
      <c r="B29" s="158" t="s">
        <v>41</v>
      </c>
      <c r="C29" s="26">
        <v>0</v>
      </c>
      <c r="D29" s="25">
        <f>C29*D27</f>
        <v>0</v>
      </c>
      <c r="E29" s="20"/>
      <c r="F29" s="20"/>
      <c r="G29" s="20"/>
    </row>
    <row r="30" spans="1:7" hidden="1" outlineLevel="1" x14ac:dyDescent="0.3">
      <c r="A30" s="156" t="s">
        <v>22</v>
      </c>
      <c r="B30" s="158" t="s">
        <v>225</v>
      </c>
      <c r="C30" s="27">
        <v>15</v>
      </c>
      <c r="D30" s="28">
        <f>(D20/C27*C30)*1.5</f>
        <v>170.26670454545453</v>
      </c>
      <c r="E30" s="20"/>
      <c r="F30" s="20"/>
      <c r="G30" s="20"/>
    </row>
    <row r="31" spans="1:7" hidden="1" outlineLevel="1" x14ac:dyDescent="0.3">
      <c r="A31" s="156" t="s">
        <v>25</v>
      </c>
      <c r="B31" s="158" t="s">
        <v>247</v>
      </c>
      <c r="C31" s="185">
        <f>((D20/220*20%))</f>
        <v>1.5134818181818182</v>
      </c>
      <c r="D31" s="28">
        <f>C31*7*C30</f>
        <v>158.91559090909089</v>
      </c>
      <c r="E31" s="186"/>
      <c r="F31" s="20"/>
      <c r="G31" s="20"/>
    </row>
    <row r="32" spans="1:7" hidden="1" outlineLevel="1" x14ac:dyDescent="0.3">
      <c r="A32" s="156" t="s">
        <v>27</v>
      </c>
      <c r="B32" s="158" t="s">
        <v>246</v>
      </c>
      <c r="C32" s="185">
        <f>(D20/220*(7.5/60))</f>
        <v>0.94592613636363632</v>
      </c>
      <c r="D32" s="28">
        <f>C32*7*C30</f>
        <v>99.322244318181816</v>
      </c>
      <c r="E32" s="187"/>
      <c r="F32" s="20"/>
      <c r="G32" s="20"/>
    </row>
    <row r="33" spans="1:7" hidden="1" outlineLevel="1" x14ac:dyDescent="0.3">
      <c r="A33" s="156" t="s">
        <v>29</v>
      </c>
      <c r="B33" s="85" t="s">
        <v>42</v>
      </c>
      <c r="C33" s="86">
        <v>0</v>
      </c>
      <c r="D33" s="87">
        <v>0</v>
      </c>
      <c r="E33" s="20"/>
      <c r="F33" s="20"/>
      <c r="G33" s="20"/>
    </row>
    <row r="34" spans="1:7" collapsed="1" x14ac:dyDescent="0.3">
      <c r="A34" s="280" t="s">
        <v>43</v>
      </c>
      <c r="B34" s="282"/>
      <c r="C34" s="281"/>
      <c r="D34" s="29">
        <f>SUM(D27:D33)</f>
        <v>2592.7835397727272</v>
      </c>
      <c r="E34" s="20"/>
      <c r="F34" s="20"/>
      <c r="G34" s="20"/>
    </row>
    <row r="35" spans="1:7" x14ac:dyDescent="0.3">
      <c r="A35" s="271"/>
      <c r="B35" s="271"/>
      <c r="C35" s="271"/>
      <c r="D35" s="271"/>
      <c r="E35" s="20"/>
      <c r="F35" s="20"/>
      <c r="G35" s="20"/>
    </row>
    <row r="36" spans="1:7" x14ac:dyDescent="0.3">
      <c r="A36" s="286" t="s">
        <v>44</v>
      </c>
      <c r="B36" s="287"/>
      <c r="C36" s="287"/>
      <c r="D36" s="288"/>
      <c r="E36" s="20"/>
      <c r="F36" s="20"/>
      <c r="G36" s="20"/>
    </row>
    <row r="37" spans="1:7" hidden="1" outlineLevel="1" x14ac:dyDescent="0.3">
      <c r="A37" s="289"/>
      <c r="B37" s="290"/>
      <c r="C37" s="290"/>
      <c r="D37" s="291"/>
      <c r="E37" s="20"/>
      <c r="F37" s="20"/>
      <c r="G37" s="20"/>
    </row>
    <row r="38" spans="1:7" hidden="1" outlineLevel="1" x14ac:dyDescent="0.3">
      <c r="A38" s="30" t="s">
        <v>45</v>
      </c>
      <c r="B38" s="31" t="s">
        <v>46</v>
      </c>
      <c r="C38" s="30" t="s">
        <v>47</v>
      </c>
      <c r="D38" s="30" t="s">
        <v>39</v>
      </c>
      <c r="E38" s="20"/>
      <c r="F38" s="20"/>
      <c r="G38" s="20"/>
    </row>
    <row r="39" spans="1:7" hidden="1" outlineLevel="2" x14ac:dyDescent="0.3">
      <c r="A39" s="32" t="s">
        <v>40</v>
      </c>
      <c r="B39" s="33" t="s">
        <v>48</v>
      </c>
      <c r="C39" s="34">
        <f>1/12</f>
        <v>8.3333333333333329E-2</v>
      </c>
      <c r="D39" s="25">
        <f>C39*D34</f>
        <v>216.06529498106059</v>
      </c>
      <c r="E39" s="20"/>
      <c r="F39" s="20"/>
      <c r="G39" s="20"/>
    </row>
    <row r="40" spans="1:7" hidden="1" outlineLevel="2" x14ac:dyDescent="0.3">
      <c r="A40" s="32" t="s">
        <v>19</v>
      </c>
      <c r="B40" s="33" t="s">
        <v>197</v>
      </c>
      <c r="C40" s="34">
        <f>IF(C12&gt;60,(1/C12/3)*5,IF(C12&gt;48,(1/C12/3)*4,IF(C12&gt;36,(1/C12/3)*3,IF(C12&gt;24,(1/C12/3)*2,IF(C12&gt;12,(1/C12/3)*1,0)))))</f>
        <v>1.3888888888888888E-2</v>
      </c>
      <c r="D40" s="25">
        <f>C40*D34</f>
        <v>36.010882496843429</v>
      </c>
      <c r="E40" s="20"/>
      <c r="F40" s="20"/>
      <c r="G40" s="20"/>
    </row>
    <row r="41" spans="1:7" hidden="1" outlineLevel="2" x14ac:dyDescent="0.3">
      <c r="A41" s="35" t="s">
        <v>120</v>
      </c>
      <c r="B41" s="33" t="s">
        <v>121</v>
      </c>
      <c r="C41" s="162">
        <v>0</v>
      </c>
      <c r="D41" s="122">
        <f>-D40*(1/3)*(C41)</f>
        <v>0</v>
      </c>
      <c r="E41" s="20"/>
      <c r="F41" s="20"/>
      <c r="G41" s="20"/>
    </row>
    <row r="42" spans="1:7" hidden="1" outlineLevel="1" collapsed="1" x14ac:dyDescent="0.3">
      <c r="A42" s="292" t="s">
        <v>14</v>
      </c>
      <c r="B42" s="293"/>
      <c r="C42" s="36">
        <f>SUM(C39:C40)</f>
        <v>9.722222222222221E-2</v>
      </c>
      <c r="D42" s="37">
        <f>SUM(D39:D41)</f>
        <v>252.07617747790403</v>
      </c>
      <c r="E42" s="20"/>
      <c r="F42" s="20"/>
      <c r="G42" s="20"/>
    </row>
    <row r="43" spans="1:7" hidden="1" outlineLevel="1" x14ac:dyDescent="0.3">
      <c r="A43" s="289"/>
      <c r="B43" s="290"/>
      <c r="C43" s="290"/>
      <c r="D43" s="291"/>
      <c r="E43" s="20"/>
      <c r="F43" s="20"/>
      <c r="G43" s="20"/>
    </row>
    <row r="44" spans="1:7" hidden="1" outlineLevel="1" x14ac:dyDescent="0.3">
      <c r="A44" s="30" t="s">
        <v>49</v>
      </c>
      <c r="B44" s="38" t="s">
        <v>50</v>
      </c>
      <c r="C44" s="30" t="s">
        <v>47</v>
      </c>
      <c r="D44" s="39" t="s">
        <v>39</v>
      </c>
      <c r="E44" s="20"/>
      <c r="F44" s="20"/>
      <c r="G44" s="20"/>
    </row>
    <row r="45" spans="1:7" hidden="1" outlineLevel="2" x14ac:dyDescent="0.3">
      <c r="A45" s="159" t="s">
        <v>40</v>
      </c>
      <c r="B45" s="40" t="s">
        <v>51</v>
      </c>
      <c r="C45" s="41">
        <v>0.2</v>
      </c>
      <c r="D45" s="25">
        <f>C45*($D$34+$D$42)</f>
        <v>568.97194345012622</v>
      </c>
      <c r="E45" s="20"/>
      <c r="F45" s="20"/>
      <c r="G45" s="20"/>
    </row>
    <row r="46" spans="1:7" hidden="1" outlineLevel="2" x14ac:dyDescent="0.3">
      <c r="A46" s="159" t="s">
        <v>19</v>
      </c>
      <c r="B46" s="40" t="s">
        <v>52</v>
      </c>
      <c r="C46" s="41">
        <v>2.5000000000000001E-2</v>
      </c>
      <c r="D46" s="25">
        <f t="shared" ref="D46:D52" si="0">C46*($D$34+$D$42)</f>
        <v>71.121492931265777</v>
      </c>
      <c r="E46" s="20"/>
      <c r="F46" s="20"/>
      <c r="G46" s="20"/>
    </row>
    <row r="47" spans="1:7" hidden="1" outlineLevel="2" x14ac:dyDescent="0.3">
      <c r="A47" s="159" t="s">
        <v>20</v>
      </c>
      <c r="B47" s="40" t="s">
        <v>114</v>
      </c>
      <c r="C47" s="161">
        <v>0.03</v>
      </c>
      <c r="D47" s="25">
        <f t="shared" si="0"/>
        <v>85.345791517518933</v>
      </c>
      <c r="E47" s="20"/>
      <c r="F47" s="20"/>
      <c r="G47" s="20"/>
    </row>
    <row r="48" spans="1:7" hidden="1" outlineLevel="2" x14ac:dyDescent="0.3">
      <c r="A48" s="159" t="s">
        <v>22</v>
      </c>
      <c r="B48" s="40" t="s">
        <v>232</v>
      </c>
      <c r="C48" s="41">
        <v>1.4999999999999999E-2</v>
      </c>
      <c r="D48" s="25">
        <f t="shared" si="0"/>
        <v>42.672895758759466</v>
      </c>
      <c r="E48" s="20"/>
      <c r="F48" s="20"/>
      <c r="G48" s="20"/>
    </row>
    <row r="49" spans="1:7" hidden="1" outlineLevel="2" x14ac:dyDescent="0.3">
      <c r="A49" s="159" t="s">
        <v>25</v>
      </c>
      <c r="B49" s="40" t="s">
        <v>233</v>
      </c>
      <c r="C49" s="41">
        <v>0.01</v>
      </c>
      <c r="D49" s="25">
        <f>C49*($D$34+$D$42)</f>
        <v>28.448597172506311</v>
      </c>
      <c r="E49" s="20"/>
      <c r="F49" s="20"/>
      <c r="G49" s="20"/>
    </row>
    <row r="50" spans="1:7" hidden="1" outlineLevel="2" x14ac:dyDescent="0.3">
      <c r="A50" s="159" t="s">
        <v>27</v>
      </c>
      <c r="B50" s="40" t="s">
        <v>53</v>
      </c>
      <c r="C50" s="41">
        <v>6.0000000000000001E-3</v>
      </c>
      <c r="D50" s="25">
        <f>C50*($D$34+$D$42)</f>
        <v>17.069158303503787</v>
      </c>
      <c r="E50" s="20"/>
      <c r="F50" s="20"/>
      <c r="G50" s="20"/>
    </row>
    <row r="51" spans="1:7" hidden="1" outlineLevel="2" x14ac:dyDescent="0.3">
      <c r="A51" s="159" t="s">
        <v>29</v>
      </c>
      <c r="B51" s="40" t="s">
        <v>54</v>
      </c>
      <c r="C51" s="41">
        <v>2E-3</v>
      </c>
      <c r="D51" s="25">
        <f t="shared" si="0"/>
        <v>5.6897194345012627</v>
      </c>
      <c r="E51" s="20"/>
      <c r="F51" s="20"/>
      <c r="G51" s="20"/>
    </row>
    <row r="52" spans="1:7" hidden="1" outlineLevel="2" x14ac:dyDescent="0.3">
      <c r="A52" s="159" t="s">
        <v>55</v>
      </c>
      <c r="B52" s="40" t="s">
        <v>56</v>
      </c>
      <c r="C52" s="41">
        <v>0.08</v>
      </c>
      <c r="D52" s="25">
        <f t="shared" si="0"/>
        <v>227.58877738005049</v>
      </c>
      <c r="E52" s="20"/>
      <c r="F52" s="20"/>
      <c r="G52" s="20"/>
    </row>
    <row r="53" spans="1:7" hidden="1" outlineLevel="1" collapsed="1" x14ac:dyDescent="0.3">
      <c r="A53" s="292" t="s">
        <v>14</v>
      </c>
      <c r="B53" s="293"/>
      <c r="C53" s="42">
        <f>SUM(C45:C52)</f>
        <v>0.36800000000000005</v>
      </c>
      <c r="D53" s="43">
        <f>SUM(D45:D52)</f>
        <v>1046.9083759482321</v>
      </c>
      <c r="E53" s="20"/>
      <c r="F53" s="20"/>
      <c r="G53" s="20"/>
    </row>
    <row r="54" spans="1:7" hidden="1" outlineLevel="1" x14ac:dyDescent="0.3">
      <c r="A54" s="289"/>
      <c r="B54" s="290"/>
      <c r="C54" s="290"/>
      <c r="D54" s="291"/>
      <c r="E54" s="20"/>
      <c r="F54" s="20"/>
      <c r="G54" s="20"/>
    </row>
    <row r="55" spans="1:7" hidden="1" outlineLevel="1" x14ac:dyDescent="0.3">
      <c r="A55" s="30" t="s">
        <v>57</v>
      </c>
      <c r="B55" s="38" t="s">
        <v>58</v>
      </c>
      <c r="C55" s="30" t="s">
        <v>59</v>
      </c>
      <c r="D55" s="30" t="s">
        <v>39</v>
      </c>
      <c r="E55" s="20"/>
      <c r="F55" s="20"/>
      <c r="G55" s="20"/>
    </row>
    <row r="56" spans="1:7" hidden="1" outlineLevel="2" x14ac:dyDescent="0.3">
      <c r="A56" s="159" t="s">
        <v>40</v>
      </c>
      <c r="B56" s="40" t="s">
        <v>60</v>
      </c>
      <c r="C56" s="44">
        <v>3.9</v>
      </c>
      <c r="D56" s="45">
        <f>IF((C30*2*C56)-(D27*6%)&lt;0,0,(C30*2*C56)-(D27*6%))</f>
        <v>17.110200000000006</v>
      </c>
      <c r="E56" s="82"/>
      <c r="F56" s="20"/>
      <c r="G56" s="20"/>
    </row>
    <row r="57" spans="1:7" hidden="1" outlineLevel="2" x14ac:dyDescent="0.3">
      <c r="A57" s="159" t="s">
        <v>19</v>
      </c>
      <c r="B57" s="40" t="s">
        <v>61</v>
      </c>
      <c r="C57" s="83">
        <v>27.6</v>
      </c>
      <c r="D57" s="45">
        <f>C57*C30</f>
        <v>414</v>
      </c>
      <c r="E57" s="20"/>
      <c r="F57" s="20"/>
      <c r="G57" s="20"/>
    </row>
    <row r="58" spans="1:7" hidden="1" outlineLevel="2" x14ac:dyDescent="0.3">
      <c r="A58" s="73" t="s">
        <v>97</v>
      </c>
      <c r="B58" s="40" t="s">
        <v>98</v>
      </c>
      <c r="C58" s="84">
        <v>-0.2</v>
      </c>
      <c r="D58" s="122">
        <f>D57*C58</f>
        <v>-82.800000000000011</v>
      </c>
      <c r="E58" s="20"/>
      <c r="F58" s="20"/>
      <c r="G58" s="20"/>
    </row>
    <row r="59" spans="1:7" hidden="1" outlineLevel="2" x14ac:dyDescent="0.3">
      <c r="A59" s="159" t="s">
        <v>20</v>
      </c>
      <c r="B59" s="176" t="s">
        <v>229</v>
      </c>
      <c r="C59" s="169">
        <v>6.0000000000000001E-3</v>
      </c>
      <c r="D59" s="177">
        <f>C59*D27</f>
        <v>9.9889799999999997</v>
      </c>
      <c r="E59" s="20"/>
      <c r="F59" s="20"/>
      <c r="G59" s="20"/>
    </row>
    <row r="60" spans="1:7" hidden="1" outlineLevel="2" x14ac:dyDescent="0.3">
      <c r="A60" s="159" t="s">
        <v>22</v>
      </c>
      <c r="B60" s="178" t="s">
        <v>228</v>
      </c>
      <c r="C60" s="168">
        <v>14</v>
      </c>
      <c r="D60" s="177">
        <f>C60</f>
        <v>14</v>
      </c>
      <c r="E60" s="20"/>
      <c r="F60" s="20"/>
      <c r="G60" s="20"/>
    </row>
    <row r="61" spans="1:7" hidden="1" outlineLevel="2" x14ac:dyDescent="0.3">
      <c r="A61" s="159" t="s">
        <v>25</v>
      </c>
      <c r="B61" s="176" t="s">
        <v>167</v>
      </c>
      <c r="C61" s="169">
        <v>7.0000000000000007E-2</v>
      </c>
      <c r="D61" s="177">
        <f>C61*D34</f>
        <v>181.49484778409092</v>
      </c>
      <c r="E61" s="20"/>
      <c r="F61" s="20"/>
      <c r="G61" s="20"/>
    </row>
    <row r="62" spans="1:7" hidden="1" outlineLevel="2" x14ac:dyDescent="0.3">
      <c r="A62" s="159" t="s">
        <v>27</v>
      </c>
      <c r="B62" s="176" t="s">
        <v>42</v>
      </c>
      <c r="C62" s="84"/>
      <c r="D62" s="177"/>
      <c r="E62" s="20"/>
      <c r="F62" s="20"/>
      <c r="G62" s="20"/>
    </row>
    <row r="63" spans="1:7" hidden="1" outlineLevel="2" x14ac:dyDescent="0.3">
      <c r="A63" s="159" t="s">
        <v>29</v>
      </c>
      <c r="B63" s="176" t="s">
        <v>42</v>
      </c>
      <c r="C63" s="83"/>
      <c r="D63" s="179">
        <f>C63</f>
        <v>0</v>
      </c>
      <c r="E63" s="20"/>
      <c r="F63" s="20"/>
      <c r="G63" s="20"/>
    </row>
    <row r="64" spans="1:7" hidden="1" outlineLevel="1" collapsed="1" x14ac:dyDescent="0.3">
      <c r="A64" s="292" t="s">
        <v>62</v>
      </c>
      <c r="B64" s="294"/>
      <c r="C64" s="293"/>
      <c r="D64" s="37">
        <f>SUM(D56:D63)</f>
        <v>553.79402778409099</v>
      </c>
      <c r="E64" s="20"/>
      <c r="F64" s="20"/>
      <c r="G64" s="20"/>
    </row>
    <row r="65" spans="1:7" hidden="1" outlineLevel="1" x14ac:dyDescent="0.3">
      <c r="A65" s="289"/>
      <c r="B65" s="290"/>
      <c r="C65" s="290"/>
      <c r="D65" s="291"/>
      <c r="E65" s="20"/>
      <c r="F65" s="20"/>
      <c r="G65" s="20"/>
    </row>
    <row r="66" spans="1:7" hidden="1" outlineLevel="1" x14ac:dyDescent="0.3">
      <c r="A66" s="295" t="s">
        <v>63</v>
      </c>
      <c r="B66" s="296"/>
      <c r="C66" s="30" t="s">
        <v>47</v>
      </c>
      <c r="D66" s="30" t="s">
        <v>39</v>
      </c>
      <c r="E66" s="20"/>
      <c r="F66" s="20"/>
      <c r="G66" s="20"/>
    </row>
    <row r="67" spans="1:7" hidden="1" outlineLevel="1" x14ac:dyDescent="0.3">
      <c r="A67" s="159" t="s">
        <v>64</v>
      </c>
      <c r="B67" s="40" t="s">
        <v>46</v>
      </c>
      <c r="C67" s="46">
        <f>C42</f>
        <v>9.722222222222221E-2</v>
      </c>
      <c r="D67" s="25">
        <f>D42</f>
        <v>252.07617747790403</v>
      </c>
      <c r="E67" s="20"/>
      <c r="F67" s="20"/>
      <c r="G67" s="20"/>
    </row>
    <row r="68" spans="1:7" hidden="1" outlineLevel="1" x14ac:dyDescent="0.3">
      <c r="A68" s="159" t="s">
        <v>49</v>
      </c>
      <c r="B68" s="40" t="s">
        <v>50</v>
      </c>
      <c r="C68" s="46">
        <f>C53</f>
        <v>0.36800000000000005</v>
      </c>
      <c r="D68" s="25">
        <f>D53</f>
        <v>1046.9083759482321</v>
      </c>
      <c r="E68" s="20"/>
      <c r="F68" s="20"/>
      <c r="G68" s="20"/>
    </row>
    <row r="69" spans="1:7" hidden="1" outlineLevel="1" x14ac:dyDescent="0.3">
      <c r="A69" s="159" t="s">
        <v>65</v>
      </c>
      <c r="B69" s="40" t="s">
        <v>58</v>
      </c>
      <c r="C69" s="46">
        <f>D64/D34</f>
        <v>0.21359053669117103</v>
      </c>
      <c r="D69" s="25">
        <f>D64</f>
        <v>553.79402778409099</v>
      </c>
      <c r="E69" s="20"/>
      <c r="F69" s="20"/>
      <c r="G69" s="20"/>
    </row>
    <row r="70" spans="1:7" collapsed="1" x14ac:dyDescent="0.3">
      <c r="A70" s="292" t="s">
        <v>14</v>
      </c>
      <c r="B70" s="294"/>
      <c r="C70" s="293"/>
      <c r="D70" s="37">
        <f>SUM(D67:D69)</f>
        <v>1852.7785812102272</v>
      </c>
      <c r="E70" s="20"/>
      <c r="F70" s="20"/>
      <c r="G70" s="20"/>
    </row>
    <row r="71" spans="1:7" x14ac:dyDescent="0.3">
      <c r="A71" s="289"/>
      <c r="B71" s="290"/>
      <c r="C71" s="290"/>
      <c r="D71" s="291"/>
      <c r="E71" s="20"/>
      <c r="F71" s="20"/>
      <c r="G71" s="20"/>
    </row>
    <row r="72" spans="1:7" x14ac:dyDescent="0.3">
      <c r="A72" s="283" t="s">
        <v>126</v>
      </c>
      <c r="B72" s="284"/>
      <c r="C72" s="284"/>
      <c r="D72" s="285"/>
      <c r="E72" s="20"/>
      <c r="F72" s="20"/>
      <c r="G72" s="20"/>
    </row>
    <row r="73" spans="1:7" hidden="1" outlineLevel="1" x14ac:dyDescent="0.3">
      <c r="A73" s="289"/>
      <c r="B73" s="290"/>
      <c r="C73" s="290"/>
      <c r="D73" s="291"/>
      <c r="E73" s="20"/>
      <c r="F73" s="20"/>
      <c r="G73" s="20"/>
    </row>
    <row r="74" spans="1:7" hidden="1" outlineLevel="1" x14ac:dyDescent="0.3">
      <c r="A74" s="157" t="s">
        <v>129</v>
      </c>
      <c r="B74" s="31" t="s">
        <v>130</v>
      </c>
      <c r="C74" s="30" t="s">
        <v>47</v>
      </c>
      <c r="D74" s="30" t="s">
        <v>39</v>
      </c>
      <c r="E74" s="20"/>
      <c r="F74" s="20"/>
      <c r="G74" s="20"/>
    </row>
    <row r="75" spans="1:7" hidden="1" outlineLevel="2" x14ac:dyDescent="0.3">
      <c r="A75" s="47" t="s">
        <v>40</v>
      </c>
      <c r="B75" s="48" t="s">
        <v>131</v>
      </c>
      <c r="C75" s="47" t="s">
        <v>132</v>
      </c>
      <c r="D75" s="49">
        <f>IF(C86&gt;1,SUM(D76:D79)*2,SUM(D76:D79))</f>
        <v>3653.8081816597228</v>
      </c>
      <c r="E75" s="20"/>
      <c r="F75" s="20"/>
      <c r="G75" s="20"/>
    </row>
    <row r="76" spans="1:7" hidden="1" outlineLevel="2" x14ac:dyDescent="0.3">
      <c r="A76" s="50" t="s">
        <v>128</v>
      </c>
      <c r="B76" s="51" t="s">
        <v>133</v>
      </c>
      <c r="C76" s="47">
        <f>(IF(C12&gt;60,45,IF(C12&gt;48,42,IF(C12&gt;36,39,IF(C12&gt;24,36,IF(C12&gt;12,33,30)))))/30)</f>
        <v>1.1000000000000001</v>
      </c>
      <c r="D76" s="49">
        <f>D34*C76</f>
        <v>2852.0618937500003</v>
      </c>
      <c r="E76" s="20"/>
      <c r="F76" s="20"/>
      <c r="G76" s="20"/>
    </row>
    <row r="77" spans="1:7" hidden="1" outlineLevel="2" x14ac:dyDescent="0.3">
      <c r="A77" s="50" t="s">
        <v>142</v>
      </c>
      <c r="B77" s="51" t="s">
        <v>134</v>
      </c>
      <c r="C77" s="34">
        <f>1/12</f>
        <v>8.3333333333333329E-2</v>
      </c>
      <c r="D77" s="49">
        <f>C77*D76</f>
        <v>237.67182447916667</v>
      </c>
      <c r="E77" s="20"/>
      <c r="F77" s="20"/>
      <c r="G77" s="20"/>
    </row>
    <row r="78" spans="1:7" hidden="1" outlineLevel="2" x14ac:dyDescent="0.3">
      <c r="A78" s="50" t="s">
        <v>143</v>
      </c>
      <c r="B78" s="51" t="s">
        <v>135</v>
      </c>
      <c r="C78" s="34">
        <f>(1/12)+(1/12/3)</f>
        <v>0.1111111111111111</v>
      </c>
      <c r="D78" s="52">
        <f>C78*D76</f>
        <v>316.89576597222225</v>
      </c>
      <c r="E78" s="20"/>
      <c r="F78" s="20"/>
      <c r="G78" s="20"/>
    </row>
    <row r="79" spans="1:7" hidden="1" outlineLevel="2" x14ac:dyDescent="0.3">
      <c r="A79" s="50" t="s">
        <v>144</v>
      </c>
      <c r="B79" s="51" t="s">
        <v>136</v>
      </c>
      <c r="C79" s="53">
        <v>0.08</v>
      </c>
      <c r="D79" s="49">
        <f>SUM(D76:D77)*C79</f>
        <v>247.17869745833337</v>
      </c>
      <c r="E79" s="20"/>
      <c r="F79" s="20"/>
      <c r="G79" s="20"/>
    </row>
    <row r="80" spans="1:7" hidden="1" outlineLevel="2" x14ac:dyDescent="0.3">
      <c r="A80" s="47" t="s">
        <v>19</v>
      </c>
      <c r="B80" s="48" t="s">
        <v>137</v>
      </c>
      <c r="C80" s="54">
        <v>0.4</v>
      </c>
      <c r="D80" s="49">
        <f>C80*D81</f>
        <v>2184.8522628484843</v>
      </c>
      <c r="E80" s="20"/>
      <c r="F80" s="20"/>
      <c r="G80" s="20"/>
    </row>
    <row r="81" spans="1:7" hidden="1" outlineLevel="2" x14ac:dyDescent="0.3">
      <c r="A81" s="47" t="s">
        <v>120</v>
      </c>
      <c r="B81" s="48" t="s">
        <v>138</v>
      </c>
      <c r="C81" s="54">
        <f>C52</f>
        <v>0.08</v>
      </c>
      <c r="D81" s="49">
        <f>C81*D82</f>
        <v>5462.1306571212108</v>
      </c>
      <c r="E81" s="20"/>
      <c r="F81" s="20"/>
      <c r="G81" s="20"/>
    </row>
    <row r="82" spans="1:7" hidden="1" outlineLevel="2" x14ac:dyDescent="0.3">
      <c r="A82" s="47" t="s">
        <v>145</v>
      </c>
      <c r="B82" s="55" t="s">
        <v>102</v>
      </c>
      <c r="C82" s="56" t="s">
        <v>132</v>
      </c>
      <c r="D82" s="52">
        <f>SUM(D83:D85)</f>
        <v>68276.633214015135</v>
      </c>
      <c r="E82" s="20"/>
      <c r="F82" s="20"/>
      <c r="G82" s="20"/>
    </row>
    <row r="83" spans="1:7" hidden="1" outlineLevel="2" x14ac:dyDescent="0.3">
      <c r="A83" s="50" t="s">
        <v>146</v>
      </c>
      <c r="B83" s="51" t="s">
        <v>139</v>
      </c>
      <c r="C83" s="57">
        <f>C12-C85</f>
        <v>23</v>
      </c>
      <c r="D83" s="49">
        <f>D34*C83</f>
        <v>59634.021414772724</v>
      </c>
      <c r="E83" s="20"/>
      <c r="F83" s="20"/>
      <c r="G83" s="20"/>
    </row>
    <row r="84" spans="1:7" hidden="1" outlineLevel="2" x14ac:dyDescent="0.3">
      <c r="A84" s="50" t="s">
        <v>147</v>
      </c>
      <c r="B84" s="51" t="s">
        <v>140</v>
      </c>
      <c r="C84" s="58">
        <f>C12/12</f>
        <v>2</v>
      </c>
      <c r="D84" s="49">
        <f>D34*C84</f>
        <v>5185.5670795454544</v>
      </c>
      <c r="E84" s="20"/>
      <c r="F84" s="20"/>
      <c r="G84" s="20"/>
    </row>
    <row r="85" spans="1:7" hidden="1" outlineLevel="2" x14ac:dyDescent="0.3">
      <c r="A85" s="50" t="s">
        <v>148</v>
      </c>
      <c r="B85" s="51" t="s">
        <v>141</v>
      </c>
      <c r="C85" s="56">
        <f>IF(C12&gt;60,5,IF(C12&gt;48,4,IF(C12&gt;36,3,IF(C12&gt;24,2,IF(C12&gt;12,1,0)))))</f>
        <v>1</v>
      </c>
      <c r="D85" s="52">
        <f>D34*C85*1.33333333333333</f>
        <v>3457.0447196969608</v>
      </c>
      <c r="E85" s="20"/>
      <c r="F85" s="20"/>
      <c r="G85" s="20"/>
    </row>
    <row r="86" spans="1:7" hidden="1" outlineLevel="1" collapsed="1" x14ac:dyDescent="0.3">
      <c r="A86" s="292" t="s">
        <v>14</v>
      </c>
      <c r="B86" s="293"/>
      <c r="C86" s="163">
        <v>0.1</v>
      </c>
      <c r="D86" s="37">
        <f>IF(C86&gt;1,D75+D80,(D75+D80)*C86)</f>
        <v>583.86604445082071</v>
      </c>
      <c r="E86" s="20"/>
      <c r="F86" s="20"/>
      <c r="G86" s="20"/>
    </row>
    <row r="87" spans="1:7" hidden="1" outlineLevel="1" x14ac:dyDescent="0.3">
      <c r="A87" s="297"/>
      <c r="B87" s="298"/>
      <c r="C87" s="298"/>
      <c r="D87" s="299"/>
      <c r="E87" s="20"/>
      <c r="F87" s="20"/>
      <c r="G87" s="20"/>
    </row>
    <row r="88" spans="1:7" hidden="1" outlineLevel="1" x14ac:dyDescent="0.3">
      <c r="A88" s="157" t="s">
        <v>155</v>
      </c>
      <c r="B88" s="31" t="s">
        <v>154</v>
      </c>
      <c r="C88" s="30" t="s">
        <v>47</v>
      </c>
      <c r="D88" s="30" t="s">
        <v>39</v>
      </c>
      <c r="E88" s="20"/>
      <c r="F88" s="20"/>
      <c r="G88" s="20"/>
    </row>
    <row r="89" spans="1:7" hidden="1" outlineLevel="2" x14ac:dyDescent="0.3">
      <c r="A89" s="47" t="s">
        <v>40</v>
      </c>
      <c r="B89" s="55" t="s">
        <v>149</v>
      </c>
      <c r="C89" s="59">
        <f>IF(C98&gt;1,(1/30*7)*2,(1/30*7))</f>
        <v>0.23333333333333334</v>
      </c>
      <c r="D89" s="52">
        <f>C89*SUM(D90:D94)</f>
        <v>1093.0234685304713</v>
      </c>
      <c r="E89" s="20"/>
      <c r="F89" s="20"/>
      <c r="G89" s="20"/>
    </row>
    <row r="90" spans="1:7" hidden="1" outlineLevel="2" x14ac:dyDescent="0.3">
      <c r="A90" s="50" t="s">
        <v>128</v>
      </c>
      <c r="B90" s="51" t="s">
        <v>150</v>
      </c>
      <c r="C90" s="47">
        <v>1</v>
      </c>
      <c r="D90" s="49">
        <f>D34</f>
        <v>2592.7835397727272</v>
      </c>
      <c r="E90" s="20"/>
      <c r="F90" s="20"/>
      <c r="G90" s="20"/>
    </row>
    <row r="91" spans="1:7" hidden="1" outlineLevel="2" x14ac:dyDescent="0.3">
      <c r="A91" s="50" t="s">
        <v>142</v>
      </c>
      <c r="B91" s="51" t="s">
        <v>151</v>
      </c>
      <c r="C91" s="34">
        <f>1/12</f>
        <v>8.3333333333333329E-2</v>
      </c>
      <c r="D91" s="49">
        <f>C91*D90</f>
        <v>216.06529498106059</v>
      </c>
      <c r="E91" s="20"/>
      <c r="F91" s="20"/>
      <c r="G91" s="20"/>
    </row>
    <row r="92" spans="1:7" hidden="1" outlineLevel="2" x14ac:dyDescent="0.3">
      <c r="A92" s="50" t="s">
        <v>143</v>
      </c>
      <c r="B92" s="51" t="s">
        <v>152</v>
      </c>
      <c r="C92" s="34">
        <f>(1/12)+(1/12/3)</f>
        <v>0.1111111111111111</v>
      </c>
      <c r="D92" s="49">
        <f>C92*D90</f>
        <v>288.08705997474743</v>
      </c>
      <c r="E92" s="20"/>
      <c r="F92" s="20"/>
      <c r="G92" s="20"/>
    </row>
    <row r="93" spans="1:7" hidden="1" outlineLevel="2" x14ac:dyDescent="0.3">
      <c r="A93" s="50" t="s">
        <v>144</v>
      </c>
      <c r="B93" s="60" t="s">
        <v>66</v>
      </c>
      <c r="C93" s="61">
        <f>C53</f>
        <v>0.36800000000000005</v>
      </c>
      <c r="D93" s="52">
        <f>C93*(D90+D91)</f>
        <v>1033.6563711893941</v>
      </c>
      <c r="E93" s="20"/>
      <c r="F93" s="20"/>
      <c r="G93" s="20"/>
    </row>
    <row r="94" spans="1:7" hidden="1" outlineLevel="2" x14ac:dyDescent="0.3">
      <c r="A94" s="50" t="s">
        <v>156</v>
      </c>
      <c r="B94" s="60" t="s">
        <v>153</v>
      </c>
      <c r="C94" s="62">
        <v>1</v>
      </c>
      <c r="D94" s="52">
        <f>D64</f>
        <v>553.79402778409099</v>
      </c>
      <c r="E94" s="20"/>
      <c r="F94" s="20"/>
      <c r="G94" s="20"/>
    </row>
    <row r="95" spans="1:7" hidden="1" outlineLevel="2" x14ac:dyDescent="0.3">
      <c r="A95" s="47" t="s">
        <v>19</v>
      </c>
      <c r="B95" s="48" t="s">
        <v>220</v>
      </c>
      <c r="C95" s="54">
        <v>0.4</v>
      </c>
      <c r="D95" s="49">
        <f>C95*D96</f>
        <v>2184.8522628484843</v>
      </c>
      <c r="E95" s="63"/>
      <c r="F95" s="20"/>
      <c r="G95" s="20"/>
    </row>
    <row r="96" spans="1:7" hidden="1" outlineLevel="2" x14ac:dyDescent="0.3">
      <c r="A96" s="47" t="s">
        <v>120</v>
      </c>
      <c r="B96" s="48" t="s">
        <v>138</v>
      </c>
      <c r="C96" s="54">
        <f>C52</f>
        <v>0.08</v>
      </c>
      <c r="D96" s="49">
        <f>C96*D97</f>
        <v>5462.1306571212108</v>
      </c>
      <c r="E96" s="20"/>
      <c r="F96" s="20"/>
      <c r="G96" s="20"/>
    </row>
    <row r="97" spans="1:7" hidden="1" outlineLevel="2" x14ac:dyDescent="0.3">
      <c r="A97" s="47" t="s">
        <v>145</v>
      </c>
      <c r="B97" s="55" t="s">
        <v>102</v>
      </c>
      <c r="C97" s="56" t="s">
        <v>132</v>
      </c>
      <c r="D97" s="52">
        <f>D82</f>
        <v>68276.633214015135</v>
      </c>
      <c r="E97" s="20"/>
      <c r="F97" s="20"/>
      <c r="G97" s="20"/>
    </row>
    <row r="98" spans="1:7" hidden="1" outlineLevel="1" collapsed="1" x14ac:dyDescent="0.3">
      <c r="A98" s="292" t="s">
        <v>14</v>
      </c>
      <c r="B98" s="293"/>
      <c r="C98" s="163">
        <v>0.9</v>
      </c>
      <c r="D98" s="37">
        <f>IF(C98&gt;1,D89+D95,(D89+D95)*C98)</f>
        <v>2950.0881582410602</v>
      </c>
      <c r="E98" s="20"/>
      <c r="F98" s="20"/>
      <c r="G98" s="20"/>
    </row>
    <row r="99" spans="1:7" hidden="1" outlineLevel="1" x14ac:dyDescent="0.3">
      <c r="A99" s="297"/>
      <c r="B99" s="298"/>
      <c r="C99" s="298"/>
      <c r="D99" s="299"/>
      <c r="E99" s="20"/>
      <c r="F99" s="20"/>
      <c r="G99" s="20"/>
    </row>
    <row r="100" spans="1:7" hidden="1" outlineLevel="1" x14ac:dyDescent="0.3">
      <c r="A100" s="157" t="s">
        <v>160</v>
      </c>
      <c r="B100" s="31" t="s">
        <v>165</v>
      </c>
      <c r="C100" s="30" t="s">
        <v>47</v>
      </c>
      <c r="D100" s="30" t="s">
        <v>39</v>
      </c>
      <c r="E100" s="20"/>
      <c r="F100" s="20"/>
      <c r="G100" s="20"/>
    </row>
    <row r="101" spans="1:7" hidden="1" outlineLevel="2" x14ac:dyDescent="0.3">
      <c r="A101" s="159" t="s">
        <v>40</v>
      </c>
      <c r="B101" s="40" t="s">
        <v>162</v>
      </c>
      <c r="C101" s="46">
        <f>IF(C12&gt;60,(D34/12*(C12-60))/C12/D34,IF(C12&gt;48,(D34/12*(C12-48))/C12/D34,IF(C12&gt;36,(D34/12*(C12-36))/C12/D34,IF(C12&gt;24,(D34/12*(C12-24))/C12/D34,IF(C12&gt;12,((D34/12*(C12-12))/C12/D34),1/12)))))</f>
        <v>4.1666666666666664E-2</v>
      </c>
      <c r="D101" s="64">
        <f>C101*D34</f>
        <v>108.03264749053029</v>
      </c>
      <c r="E101" s="20"/>
      <c r="F101" s="20"/>
      <c r="G101" s="20"/>
    </row>
    <row r="102" spans="1:7" hidden="1" outlineLevel="2" x14ac:dyDescent="0.3">
      <c r="A102" s="159" t="s">
        <v>19</v>
      </c>
      <c r="B102" s="65" t="s">
        <v>163</v>
      </c>
      <c r="C102" s="46">
        <f>C101/3</f>
        <v>1.3888888888888888E-2</v>
      </c>
      <c r="D102" s="66">
        <f>C102*D34</f>
        <v>36.010882496843429</v>
      </c>
      <c r="E102" s="20"/>
      <c r="F102" s="20"/>
      <c r="G102" s="20"/>
    </row>
    <row r="103" spans="1:7" hidden="1" outlineLevel="2" x14ac:dyDescent="0.3">
      <c r="A103" s="159" t="s">
        <v>20</v>
      </c>
      <c r="B103" s="67" t="s">
        <v>166</v>
      </c>
      <c r="C103" s="71">
        <f>C41</f>
        <v>0</v>
      </c>
      <c r="D103" s="25">
        <f>-D41*4</f>
        <v>0</v>
      </c>
      <c r="E103" s="20"/>
      <c r="F103" s="20"/>
      <c r="G103" s="20"/>
    </row>
    <row r="104" spans="1:7" ht="15.75" hidden="1" customHeight="1" outlineLevel="1" collapsed="1" x14ac:dyDescent="0.3">
      <c r="A104" s="292" t="s">
        <v>14</v>
      </c>
      <c r="B104" s="293"/>
      <c r="C104" s="36">
        <f>C101+C102+(D103/D34)</f>
        <v>5.5555555555555552E-2</v>
      </c>
      <c r="D104" s="37">
        <f>SUM(D101:D103)</f>
        <v>144.04352998737372</v>
      </c>
      <c r="E104" s="20"/>
      <c r="F104" s="20"/>
      <c r="G104" s="20"/>
    </row>
    <row r="105" spans="1:7" hidden="1" outlineLevel="1" x14ac:dyDescent="0.3">
      <c r="A105" s="297"/>
      <c r="B105" s="298"/>
      <c r="C105" s="298"/>
      <c r="D105" s="299"/>
      <c r="E105" s="63"/>
      <c r="F105" s="20"/>
      <c r="G105" s="20"/>
    </row>
    <row r="106" spans="1:7" hidden="1" outlineLevel="1" x14ac:dyDescent="0.3">
      <c r="A106" s="295" t="s">
        <v>161</v>
      </c>
      <c r="B106" s="296"/>
      <c r="C106" s="30" t="s">
        <v>47</v>
      </c>
      <c r="D106" s="30" t="s">
        <v>39</v>
      </c>
      <c r="E106" s="63"/>
      <c r="F106" s="20"/>
      <c r="G106" s="20"/>
    </row>
    <row r="107" spans="1:7" hidden="1" outlineLevel="1" x14ac:dyDescent="0.3">
      <c r="A107" s="159" t="s">
        <v>129</v>
      </c>
      <c r="B107" s="40" t="s">
        <v>130</v>
      </c>
      <c r="C107" s="46">
        <f>C86</f>
        <v>0.1</v>
      </c>
      <c r="D107" s="25">
        <f>D86</f>
        <v>583.86604445082071</v>
      </c>
      <c r="E107" s="63"/>
      <c r="F107" s="20"/>
      <c r="G107" s="20"/>
    </row>
    <row r="108" spans="1:7" hidden="1" outlineLevel="1" x14ac:dyDescent="0.3">
      <c r="A108" s="32" t="s">
        <v>155</v>
      </c>
      <c r="B108" s="40" t="s">
        <v>154</v>
      </c>
      <c r="C108" s="68">
        <f>C98</f>
        <v>0.9</v>
      </c>
      <c r="D108" s="25">
        <f>D98</f>
        <v>2950.0881582410602</v>
      </c>
      <c r="E108" s="63"/>
      <c r="F108" s="20"/>
      <c r="G108" s="20"/>
    </row>
    <row r="109" spans="1:7" hidden="1" outlineLevel="1" x14ac:dyDescent="0.3">
      <c r="A109" s="300" t="s">
        <v>164</v>
      </c>
      <c r="B109" s="300"/>
      <c r="C109" s="300"/>
      <c r="D109" s="69">
        <f>D107+D108</f>
        <v>3533.9542026918807</v>
      </c>
      <c r="E109" s="63"/>
      <c r="F109" s="20"/>
      <c r="G109" s="20"/>
    </row>
    <row r="110" spans="1:7" hidden="1" outlineLevel="1" x14ac:dyDescent="0.3">
      <c r="A110" s="301" t="s">
        <v>195</v>
      </c>
      <c r="B110" s="302"/>
      <c r="C110" s="164">
        <v>0.71030000000000004</v>
      </c>
      <c r="D110" s="123">
        <f>C110*D109</f>
        <v>2510.167670172043</v>
      </c>
      <c r="E110" s="63"/>
      <c r="F110" s="20"/>
      <c r="G110" s="20"/>
    </row>
    <row r="111" spans="1:7" hidden="1" outlineLevel="1" x14ac:dyDescent="0.3">
      <c r="A111" s="303" t="s">
        <v>194</v>
      </c>
      <c r="B111" s="304"/>
      <c r="C111" s="172">
        <f>1/C12</f>
        <v>4.1666666666666664E-2</v>
      </c>
      <c r="D111" s="132">
        <f>D110*C111</f>
        <v>104.59031959050179</v>
      </c>
      <c r="E111" s="63"/>
      <c r="F111" s="20"/>
      <c r="G111" s="20"/>
    </row>
    <row r="112" spans="1:7" hidden="1" outlineLevel="1" x14ac:dyDescent="0.3">
      <c r="A112" s="32" t="s">
        <v>160</v>
      </c>
      <c r="B112" s="40" t="s">
        <v>159</v>
      </c>
      <c r="C112" s="68"/>
      <c r="D112" s="122">
        <f>D104</f>
        <v>144.04352998737372</v>
      </c>
      <c r="E112" s="63"/>
      <c r="F112" s="20"/>
      <c r="G112" s="20"/>
    </row>
    <row r="113" spans="1:7" collapsed="1" x14ac:dyDescent="0.3">
      <c r="A113" s="292" t="s">
        <v>67</v>
      </c>
      <c r="B113" s="293"/>
      <c r="C113" s="36"/>
      <c r="D113" s="70">
        <f>D111+D112</f>
        <v>248.63384957787551</v>
      </c>
      <c r="E113" s="20"/>
      <c r="F113" s="20"/>
      <c r="G113" s="20"/>
    </row>
    <row r="114" spans="1:7" x14ac:dyDescent="0.3">
      <c r="A114" s="289"/>
      <c r="B114" s="290"/>
      <c r="C114" s="290"/>
      <c r="D114" s="291"/>
      <c r="E114" s="20"/>
      <c r="F114" s="20"/>
      <c r="G114" s="20"/>
    </row>
    <row r="115" spans="1:7" x14ac:dyDescent="0.3">
      <c r="A115" s="286" t="s">
        <v>68</v>
      </c>
      <c r="B115" s="287"/>
      <c r="C115" s="287"/>
      <c r="D115" s="288"/>
      <c r="E115" s="20"/>
      <c r="F115" s="20"/>
      <c r="G115" s="20"/>
    </row>
    <row r="116" spans="1:7" hidden="1" outlineLevel="1" x14ac:dyDescent="0.3">
      <c r="A116" s="297"/>
      <c r="B116" s="298"/>
      <c r="C116" s="298"/>
      <c r="D116" s="299"/>
      <c r="E116" s="20"/>
      <c r="F116" s="20"/>
      <c r="G116" s="20"/>
    </row>
    <row r="117" spans="1:7" hidden="1" outlineLevel="1" x14ac:dyDescent="0.3">
      <c r="A117" s="30" t="s">
        <v>69</v>
      </c>
      <c r="B117" s="38" t="s">
        <v>124</v>
      </c>
      <c r="C117" s="36" t="s">
        <v>47</v>
      </c>
      <c r="D117" s="30" t="s">
        <v>39</v>
      </c>
      <c r="E117" s="20"/>
      <c r="F117" s="20"/>
      <c r="G117" s="20"/>
    </row>
    <row r="118" spans="1:7" hidden="1" outlineLevel="2" x14ac:dyDescent="0.3">
      <c r="A118" s="159" t="s">
        <v>40</v>
      </c>
      <c r="B118" s="40" t="s">
        <v>70</v>
      </c>
      <c r="C118" s="71">
        <f>IF(C12&gt;60,5/C12,IF(C12&gt;48,4/C12,IF(C12&gt;36,3/C12,IF(C12&gt;24,2/C12,IF(C12&gt;12,1/C12,0)))))</f>
        <v>4.1666666666666664E-2</v>
      </c>
      <c r="D118" s="64">
        <f>C118*(D34+D70+D113)</f>
        <v>195.5914987733679</v>
      </c>
      <c r="E118" s="133"/>
      <c r="F118" s="20"/>
      <c r="G118" s="72"/>
    </row>
    <row r="119" spans="1:7" hidden="1" outlineLevel="2" x14ac:dyDescent="0.3">
      <c r="A119" s="73" t="s">
        <v>128</v>
      </c>
      <c r="B119" s="40" t="s">
        <v>127</v>
      </c>
      <c r="C119" s="71">
        <f>C41</f>
        <v>0</v>
      </c>
      <c r="D119" s="122">
        <f>-D118*(1/3)*(C119)</f>
        <v>0</v>
      </c>
      <c r="E119" s="20"/>
      <c r="F119" s="20"/>
      <c r="G119" s="20"/>
    </row>
    <row r="120" spans="1:7" hidden="1" outlineLevel="1" collapsed="1" x14ac:dyDescent="0.3">
      <c r="A120" s="292" t="s">
        <v>158</v>
      </c>
      <c r="B120" s="293"/>
      <c r="C120" s="36">
        <f>C118+(D119/D34)</f>
        <v>4.1666666666666664E-2</v>
      </c>
      <c r="D120" s="37">
        <f>SUM(D118:D119)</f>
        <v>195.5914987733679</v>
      </c>
      <c r="E120" s="20"/>
      <c r="F120" s="20"/>
      <c r="G120" s="20"/>
    </row>
    <row r="121" spans="1:7" hidden="1" outlineLevel="1" x14ac:dyDescent="0.3">
      <c r="A121" s="297"/>
      <c r="B121" s="298"/>
      <c r="C121" s="298"/>
      <c r="D121" s="299"/>
      <c r="E121" s="20"/>
      <c r="F121" s="20"/>
      <c r="G121" s="20"/>
    </row>
    <row r="122" spans="1:7" hidden="1" outlineLevel="1" x14ac:dyDescent="0.3">
      <c r="A122" s="30" t="s">
        <v>123</v>
      </c>
      <c r="B122" s="38" t="s">
        <v>125</v>
      </c>
      <c r="C122" s="36" t="s">
        <v>47</v>
      </c>
      <c r="D122" s="30" t="s">
        <v>39</v>
      </c>
      <c r="E122" s="20"/>
      <c r="F122" s="20"/>
      <c r="G122" s="20"/>
    </row>
    <row r="123" spans="1:7" hidden="1" outlineLevel="2" x14ac:dyDescent="0.3">
      <c r="A123" s="159" t="s">
        <v>40</v>
      </c>
      <c r="B123" s="149" t="s">
        <v>122</v>
      </c>
      <c r="C123" s="165">
        <v>1.35E-2</v>
      </c>
      <c r="D123" s="64">
        <f t="shared" ref="D123:D128" si="1">C123*($D$64+$D$113+$D$34)</f>
        <v>45.835354131318368</v>
      </c>
      <c r="E123" s="20"/>
      <c r="F123" s="20"/>
      <c r="G123" s="72"/>
    </row>
    <row r="124" spans="1:7" hidden="1" outlineLevel="2" x14ac:dyDescent="0.3">
      <c r="A124" s="159" t="s">
        <v>19</v>
      </c>
      <c r="B124" s="40" t="s">
        <v>104</v>
      </c>
      <c r="C124" s="180">
        <v>1.66E-2</v>
      </c>
      <c r="D124" s="64">
        <f t="shared" si="1"/>
        <v>56.360509524435919</v>
      </c>
      <c r="E124" s="20"/>
      <c r="F124" s="20"/>
      <c r="G124" s="72"/>
    </row>
    <row r="125" spans="1:7" hidden="1" outlineLevel="2" x14ac:dyDescent="0.3">
      <c r="A125" s="159" t="s">
        <v>20</v>
      </c>
      <c r="B125" s="40" t="s">
        <v>105</v>
      </c>
      <c r="C125" s="180">
        <v>2.7000000000000001E-3</v>
      </c>
      <c r="D125" s="64">
        <f t="shared" si="1"/>
        <v>9.1670708262636733</v>
      </c>
      <c r="E125" s="20"/>
      <c r="F125" s="20"/>
      <c r="G125" s="72"/>
    </row>
    <row r="126" spans="1:7" hidden="1" outlineLevel="2" x14ac:dyDescent="0.3">
      <c r="A126" s="159" t="s">
        <v>22</v>
      </c>
      <c r="B126" s="40" t="s">
        <v>103</v>
      </c>
      <c r="C126" s="180">
        <v>2.8E-3</v>
      </c>
      <c r="D126" s="64">
        <f t="shared" si="1"/>
        <v>9.5065919679771422</v>
      </c>
      <c r="E126" s="20"/>
      <c r="F126" s="20"/>
      <c r="G126" s="20"/>
    </row>
    <row r="127" spans="1:7" hidden="1" outlineLevel="2" x14ac:dyDescent="0.3">
      <c r="A127" s="159" t="s">
        <v>25</v>
      </c>
      <c r="B127" s="40" t="s">
        <v>71</v>
      </c>
      <c r="C127" s="180">
        <v>2.0000000000000001E-4</v>
      </c>
      <c r="D127" s="64">
        <f t="shared" si="1"/>
        <v>0.67904228342693884</v>
      </c>
      <c r="E127" s="20"/>
      <c r="F127" s="20"/>
      <c r="G127" s="20"/>
    </row>
    <row r="128" spans="1:7" hidden="1" outlineLevel="2" x14ac:dyDescent="0.3">
      <c r="A128" s="159" t="s">
        <v>27</v>
      </c>
      <c r="B128" s="40" t="s">
        <v>72</v>
      </c>
      <c r="C128" s="180">
        <v>2.9999999999999997E-4</v>
      </c>
      <c r="D128" s="64">
        <f t="shared" si="1"/>
        <v>1.0185634251404081</v>
      </c>
      <c r="E128" s="20"/>
      <c r="F128" s="20"/>
      <c r="G128" s="20"/>
    </row>
    <row r="129" spans="1:7" hidden="1" outlineLevel="1" collapsed="1" x14ac:dyDescent="0.3">
      <c r="A129" s="292" t="s">
        <v>158</v>
      </c>
      <c r="B129" s="293"/>
      <c r="C129" s="36">
        <f>SUM(C123:C128)</f>
        <v>3.61E-2</v>
      </c>
      <c r="D129" s="37">
        <f>SUM(D123:D128)</f>
        <v>122.56713215856246</v>
      </c>
      <c r="E129" s="20"/>
      <c r="F129" s="20"/>
      <c r="G129" s="20"/>
    </row>
    <row r="130" spans="1:7" hidden="1" outlineLevel="1" x14ac:dyDescent="0.3">
      <c r="A130" s="297"/>
      <c r="B130" s="298"/>
      <c r="C130" s="298"/>
      <c r="D130" s="299"/>
      <c r="E130" s="20"/>
      <c r="F130" s="20"/>
      <c r="G130" s="20"/>
    </row>
    <row r="131" spans="1:7" hidden="1" outlineLevel="1" x14ac:dyDescent="0.3">
      <c r="A131" s="295" t="s">
        <v>157</v>
      </c>
      <c r="B131" s="296"/>
      <c r="C131" s="30" t="s">
        <v>47</v>
      </c>
      <c r="D131" s="30" t="s">
        <v>39</v>
      </c>
      <c r="E131" s="20"/>
      <c r="F131" s="20"/>
      <c r="G131" s="20"/>
    </row>
    <row r="132" spans="1:7" hidden="1" outlineLevel="1" x14ac:dyDescent="0.3">
      <c r="A132" s="159" t="s">
        <v>69</v>
      </c>
      <c r="B132" s="40" t="s">
        <v>124</v>
      </c>
      <c r="C132" s="46"/>
      <c r="D132" s="98">
        <f>D120</f>
        <v>195.5914987733679</v>
      </c>
      <c r="E132" s="20"/>
      <c r="F132" s="20"/>
      <c r="G132" s="20"/>
    </row>
    <row r="133" spans="1:7" hidden="1" outlineLevel="1" x14ac:dyDescent="0.3">
      <c r="A133" s="159" t="s">
        <v>123</v>
      </c>
      <c r="B133" s="40" t="s">
        <v>125</v>
      </c>
      <c r="C133" s="46"/>
      <c r="D133" s="98">
        <f>D129</f>
        <v>122.56713215856246</v>
      </c>
      <c r="E133" s="20"/>
      <c r="F133" s="20"/>
      <c r="G133" s="20"/>
    </row>
    <row r="134" spans="1:7" collapsed="1" x14ac:dyDescent="0.3">
      <c r="A134" s="292" t="s">
        <v>14</v>
      </c>
      <c r="B134" s="294"/>
      <c r="C134" s="293"/>
      <c r="D134" s="99">
        <f>SUM(D132:D133)</f>
        <v>318.15863093193036</v>
      </c>
      <c r="E134" s="20"/>
      <c r="F134" s="20"/>
      <c r="G134" s="20"/>
    </row>
    <row r="135" spans="1:7" x14ac:dyDescent="0.3">
      <c r="A135" s="297"/>
      <c r="B135" s="298"/>
      <c r="C135" s="298"/>
      <c r="D135" s="299"/>
      <c r="E135" s="20"/>
      <c r="F135" s="20"/>
      <c r="G135" s="20"/>
    </row>
    <row r="136" spans="1:7" x14ac:dyDescent="0.3">
      <c r="A136" s="286" t="s">
        <v>73</v>
      </c>
      <c r="B136" s="287"/>
      <c r="C136" s="287"/>
      <c r="D136" s="288"/>
      <c r="E136" s="20"/>
      <c r="F136" s="20"/>
      <c r="G136" s="20"/>
    </row>
    <row r="137" spans="1:7" hidden="1" outlineLevel="1" x14ac:dyDescent="0.3">
      <c r="A137" s="297"/>
      <c r="B137" s="298"/>
      <c r="C137" s="298"/>
      <c r="D137" s="299"/>
      <c r="E137" s="20"/>
      <c r="F137" s="20"/>
      <c r="G137" s="20"/>
    </row>
    <row r="138" spans="1:7" hidden="1" outlineLevel="1" x14ac:dyDescent="0.3">
      <c r="A138" s="157">
        <v>5</v>
      </c>
      <c r="B138" s="292" t="s">
        <v>248</v>
      </c>
      <c r="C138" s="293"/>
      <c r="D138" s="30" t="s">
        <v>39</v>
      </c>
      <c r="E138" s="20"/>
      <c r="F138" s="20"/>
      <c r="G138" s="20"/>
    </row>
    <row r="139" spans="1:7" hidden="1" outlineLevel="1" x14ac:dyDescent="0.3">
      <c r="A139" s="159" t="s">
        <v>40</v>
      </c>
      <c r="B139" s="308" t="s">
        <v>249</v>
      </c>
      <c r="C139" s="309"/>
      <c r="D139" s="95">
        <f>INSUMOS!H17</f>
        <v>53.838916666666663</v>
      </c>
      <c r="E139" s="20"/>
      <c r="F139" s="20"/>
      <c r="G139" s="20"/>
    </row>
    <row r="140" spans="1:7" hidden="1" outlineLevel="1" x14ac:dyDescent="0.3">
      <c r="A140" s="159" t="s">
        <v>19</v>
      </c>
      <c r="B140" s="308" t="s">
        <v>269</v>
      </c>
      <c r="C140" s="309"/>
      <c r="D140" s="74">
        <f>INSUMOS!H39</f>
        <v>23.641805555555553</v>
      </c>
      <c r="E140" s="20"/>
      <c r="F140" s="20"/>
      <c r="G140" s="20"/>
    </row>
    <row r="141" spans="1:7" hidden="1" outlineLevel="1" x14ac:dyDescent="0.3">
      <c r="A141" s="159" t="s">
        <v>20</v>
      </c>
      <c r="B141" s="310" t="s">
        <v>268</v>
      </c>
      <c r="C141" s="311"/>
      <c r="D141" s="181">
        <f>INSUMOS!H50</f>
        <v>62.5</v>
      </c>
      <c r="E141" s="20"/>
      <c r="F141" s="20"/>
      <c r="G141" s="20"/>
    </row>
    <row r="142" spans="1:7" hidden="1" outlineLevel="1" x14ac:dyDescent="0.3">
      <c r="A142" s="159" t="s">
        <v>25</v>
      </c>
      <c r="B142" s="312" t="s">
        <v>42</v>
      </c>
      <c r="C142" s="313"/>
      <c r="D142" s="96">
        <v>0</v>
      </c>
      <c r="E142" s="20"/>
      <c r="F142" s="20"/>
      <c r="G142" s="20"/>
    </row>
    <row r="143" spans="1:7" collapsed="1" x14ac:dyDescent="0.3">
      <c r="A143" s="292" t="s">
        <v>74</v>
      </c>
      <c r="B143" s="294"/>
      <c r="C143" s="293"/>
      <c r="D143" s="97">
        <f>SUM(D139:D142)</f>
        <v>139.9807222222222</v>
      </c>
      <c r="E143" s="20"/>
      <c r="F143" s="20"/>
      <c r="G143" s="20"/>
    </row>
    <row r="144" spans="1:7" x14ac:dyDescent="0.3">
      <c r="A144" s="289"/>
      <c r="B144" s="290"/>
      <c r="C144" s="290"/>
      <c r="D144" s="291"/>
      <c r="E144" s="20"/>
      <c r="F144" s="20"/>
      <c r="G144" s="20"/>
    </row>
    <row r="145" spans="1:7" x14ac:dyDescent="0.3">
      <c r="A145" s="314" t="s">
        <v>75</v>
      </c>
      <c r="B145" s="314"/>
      <c r="C145" s="314"/>
      <c r="D145" s="160">
        <f>D34+D70+D113+D134+D143</f>
        <v>5152.3353237149822</v>
      </c>
      <c r="E145" s="20"/>
      <c r="F145" s="20"/>
      <c r="G145" s="20"/>
    </row>
    <row r="146" spans="1:7" x14ac:dyDescent="0.3">
      <c r="A146" s="271"/>
      <c r="B146" s="271"/>
      <c r="C146" s="271"/>
      <c r="D146" s="271"/>
      <c r="E146" s="20"/>
      <c r="F146" s="20"/>
      <c r="G146" s="20"/>
    </row>
    <row r="147" spans="1:7" x14ac:dyDescent="0.3">
      <c r="A147" s="315" t="s">
        <v>76</v>
      </c>
      <c r="B147" s="315"/>
      <c r="C147" s="315"/>
      <c r="D147" s="315"/>
      <c r="E147" s="20"/>
      <c r="F147" s="20"/>
      <c r="G147" s="20"/>
    </row>
    <row r="148" spans="1:7" hidden="1" outlineLevel="1" x14ac:dyDescent="0.3">
      <c r="A148" s="316"/>
      <c r="B148" s="317"/>
      <c r="C148" s="317"/>
      <c r="D148" s="318"/>
      <c r="E148" s="20"/>
      <c r="F148" s="20"/>
      <c r="G148" s="20"/>
    </row>
    <row r="149" spans="1:7" hidden="1" outlineLevel="1" x14ac:dyDescent="0.3">
      <c r="A149" s="157">
        <v>6</v>
      </c>
      <c r="B149" s="38" t="s">
        <v>77</v>
      </c>
      <c r="C149" s="30" t="s">
        <v>47</v>
      </c>
      <c r="D149" s="30" t="s">
        <v>39</v>
      </c>
      <c r="E149" s="20"/>
      <c r="F149" s="20"/>
      <c r="G149" s="20"/>
    </row>
    <row r="150" spans="1:7" hidden="1" outlineLevel="1" x14ac:dyDescent="0.3">
      <c r="A150" s="159" t="s">
        <v>40</v>
      </c>
      <c r="B150" s="40" t="s">
        <v>78</v>
      </c>
      <c r="C150" s="166">
        <v>5.6599999999999998E-2</v>
      </c>
      <c r="D150" s="28">
        <f>C150*D145</f>
        <v>291.62217932226798</v>
      </c>
      <c r="E150" s="20"/>
      <c r="F150" s="20"/>
      <c r="G150" s="20"/>
    </row>
    <row r="151" spans="1:7" hidden="1" outlineLevel="1" x14ac:dyDescent="0.3">
      <c r="A151" s="305" t="s">
        <v>4</v>
      </c>
      <c r="B151" s="306"/>
      <c r="C151" s="307"/>
      <c r="D151" s="28">
        <f>D145+D150</f>
        <v>5443.9575030372498</v>
      </c>
      <c r="E151" s="20"/>
      <c r="F151" s="20"/>
      <c r="G151" s="20"/>
    </row>
    <row r="152" spans="1:7" hidden="1" outlineLevel="1" x14ac:dyDescent="0.3">
      <c r="A152" s="159" t="s">
        <v>19</v>
      </c>
      <c r="B152" s="40" t="s">
        <v>79</v>
      </c>
      <c r="C152" s="166">
        <v>5.62E-2</v>
      </c>
      <c r="D152" s="28">
        <f>C152*D151</f>
        <v>305.95041167069343</v>
      </c>
      <c r="E152" s="20"/>
      <c r="F152" s="20"/>
      <c r="G152" s="20"/>
    </row>
    <row r="153" spans="1:7" hidden="1" outlineLevel="1" x14ac:dyDescent="0.3">
      <c r="A153" s="305" t="s">
        <v>4</v>
      </c>
      <c r="B153" s="306"/>
      <c r="C153" s="306"/>
      <c r="D153" s="28">
        <f>D152+D151</f>
        <v>5749.9079147079428</v>
      </c>
      <c r="E153" s="20"/>
      <c r="F153" s="20"/>
      <c r="G153" s="20"/>
    </row>
    <row r="154" spans="1:7" hidden="1" outlineLevel="1" x14ac:dyDescent="0.3">
      <c r="A154" s="159" t="s">
        <v>20</v>
      </c>
      <c r="B154" s="310" t="s">
        <v>80</v>
      </c>
      <c r="C154" s="319"/>
      <c r="D154" s="311"/>
      <c r="E154" s="20"/>
      <c r="F154" s="20"/>
      <c r="G154" s="20"/>
    </row>
    <row r="155" spans="1:7" hidden="1" outlineLevel="1" x14ac:dyDescent="0.3">
      <c r="A155" s="88"/>
      <c r="B155" s="158" t="s">
        <v>81</v>
      </c>
      <c r="C155" s="166">
        <v>6.4999999999999997E-3</v>
      </c>
      <c r="D155" s="28">
        <f>(D153/(1-C158)*C155)</f>
        <v>40.913411544172554</v>
      </c>
      <c r="E155" s="20"/>
      <c r="F155" s="20"/>
      <c r="G155" s="20"/>
    </row>
    <row r="156" spans="1:7" hidden="1" outlineLevel="1" x14ac:dyDescent="0.3">
      <c r="A156" s="88"/>
      <c r="B156" s="158" t="s">
        <v>82</v>
      </c>
      <c r="C156" s="166">
        <v>0.03</v>
      </c>
      <c r="D156" s="28">
        <f>(D153/(1-C158)*C156)</f>
        <v>188.83113020387333</v>
      </c>
      <c r="E156" s="20"/>
      <c r="F156" s="20"/>
      <c r="G156" s="20"/>
    </row>
    <row r="157" spans="1:7" hidden="1" outlineLevel="1" x14ac:dyDescent="0.3">
      <c r="A157" s="88"/>
      <c r="B157" s="158" t="s">
        <v>257</v>
      </c>
      <c r="C157" s="75">
        <v>0.05</v>
      </c>
      <c r="D157" s="28">
        <f>(D153/(1-C158)*C157)</f>
        <v>314.71855033978892</v>
      </c>
      <c r="E157" s="20"/>
      <c r="F157" s="20"/>
      <c r="G157" s="20"/>
    </row>
    <row r="158" spans="1:7" hidden="1" outlineLevel="1" x14ac:dyDescent="0.3">
      <c r="A158" s="305" t="s">
        <v>83</v>
      </c>
      <c r="B158" s="307"/>
      <c r="C158" s="76">
        <f>SUM(C155:C157)</f>
        <v>8.6499999999999994E-2</v>
      </c>
      <c r="D158" s="28">
        <f>SUM(D155:D157)</f>
        <v>544.46309208783487</v>
      </c>
      <c r="E158" s="20"/>
      <c r="F158" s="20"/>
      <c r="G158" s="20"/>
    </row>
    <row r="159" spans="1:7" collapsed="1" x14ac:dyDescent="0.3">
      <c r="A159" s="292" t="s">
        <v>84</v>
      </c>
      <c r="B159" s="293"/>
      <c r="C159" s="77">
        <f>SUM(C150+C152+C158)</f>
        <v>0.19929999999999998</v>
      </c>
      <c r="D159" s="29">
        <f>SUM(D158+D150+D152)</f>
        <v>1142.0356830807964</v>
      </c>
      <c r="E159" s="20"/>
      <c r="F159" s="20"/>
      <c r="G159" s="20"/>
    </row>
    <row r="160" spans="1:7" x14ac:dyDescent="0.3">
      <c r="A160" s="289"/>
      <c r="B160" s="290"/>
      <c r="C160" s="290"/>
      <c r="D160" s="291"/>
      <c r="E160" s="20"/>
      <c r="F160" s="20"/>
      <c r="G160" s="20"/>
    </row>
    <row r="161" spans="1:7" x14ac:dyDescent="0.3">
      <c r="A161" s="280" t="s">
        <v>85</v>
      </c>
      <c r="B161" s="282"/>
      <c r="C161" s="281"/>
      <c r="D161" s="78" t="s">
        <v>39</v>
      </c>
      <c r="E161" s="20"/>
      <c r="F161" s="20"/>
      <c r="G161" s="20"/>
    </row>
    <row r="162" spans="1:7" x14ac:dyDescent="0.3">
      <c r="A162" s="275" t="s">
        <v>86</v>
      </c>
      <c r="B162" s="320"/>
      <c r="C162" s="320"/>
      <c r="D162" s="276"/>
      <c r="E162" s="20"/>
      <c r="F162" s="20"/>
      <c r="G162" s="20"/>
    </row>
    <row r="163" spans="1:7" x14ac:dyDescent="0.3">
      <c r="A163" s="156" t="s">
        <v>40</v>
      </c>
      <c r="B163" s="275" t="s">
        <v>87</v>
      </c>
      <c r="C163" s="276"/>
      <c r="D163" s="25">
        <f>D34</f>
        <v>2592.7835397727272</v>
      </c>
      <c r="E163" s="20"/>
      <c r="F163" s="20"/>
      <c r="G163" s="20"/>
    </row>
    <row r="164" spans="1:7" x14ac:dyDescent="0.3">
      <c r="A164" s="156" t="s">
        <v>19</v>
      </c>
      <c r="B164" s="275" t="s">
        <v>88</v>
      </c>
      <c r="C164" s="276"/>
      <c r="D164" s="25">
        <f>D70</f>
        <v>1852.7785812102272</v>
      </c>
      <c r="E164" s="20"/>
      <c r="F164" s="20"/>
      <c r="G164" s="20"/>
    </row>
    <row r="165" spans="1:7" x14ac:dyDescent="0.3">
      <c r="A165" s="156" t="s">
        <v>20</v>
      </c>
      <c r="B165" s="275" t="s">
        <v>89</v>
      </c>
      <c r="C165" s="276"/>
      <c r="D165" s="25">
        <f>D113</f>
        <v>248.63384957787551</v>
      </c>
      <c r="E165" s="20"/>
      <c r="F165" s="20"/>
      <c r="G165" s="20"/>
    </row>
    <row r="166" spans="1:7" x14ac:dyDescent="0.3">
      <c r="A166" s="156" t="s">
        <v>22</v>
      </c>
      <c r="B166" s="275" t="s">
        <v>90</v>
      </c>
      <c r="C166" s="276"/>
      <c r="D166" s="25">
        <f>D134</f>
        <v>318.15863093193036</v>
      </c>
      <c r="E166" s="20"/>
      <c r="F166" s="20"/>
      <c r="G166" s="20"/>
    </row>
    <row r="167" spans="1:7" x14ac:dyDescent="0.3">
      <c r="A167" s="156" t="s">
        <v>25</v>
      </c>
      <c r="B167" s="275" t="s">
        <v>91</v>
      </c>
      <c r="C167" s="276"/>
      <c r="D167" s="25">
        <f>D143</f>
        <v>139.9807222222222</v>
      </c>
      <c r="E167" s="20"/>
      <c r="F167" s="20"/>
      <c r="G167" s="20"/>
    </row>
    <row r="168" spans="1:7" x14ac:dyDescent="0.3">
      <c r="A168" s="321" t="s">
        <v>92</v>
      </c>
      <c r="B168" s="322"/>
      <c r="C168" s="323"/>
      <c r="D168" s="25">
        <f>SUM(D163:D167)</f>
        <v>5152.3353237149822</v>
      </c>
      <c r="E168" s="20"/>
      <c r="F168" s="20"/>
      <c r="G168" s="20"/>
    </row>
    <row r="169" spans="1:7" x14ac:dyDescent="0.3">
      <c r="A169" s="156" t="s">
        <v>93</v>
      </c>
      <c r="B169" s="275" t="s">
        <v>94</v>
      </c>
      <c r="C169" s="276"/>
      <c r="D169" s="25">
        <f>D159</f>
        <v>1142.0356830807964</v>
      </c>
      <c r="E169" s="20"/>
      <c r="F169" s="20"/>
      <c r="G169" s="20"/>
    </row>
    <row r="170" spans="1:7" x14ac:dyDescent="0.3">
      <c r="A170" s="280" t="s">
        <v>95</v>
      </c>
      <c r="B170" s="282"/>
      <c r="C170" s="281"/>
      <c r="D170" s="124">
        <f xml:space="preserve"> D168+D169</f>
        <v>6294.3710067957782</v>
      </c>
      <c r="E170" s="20"/>
      <c r="F170" s="20"/>
      <c r="G170" s="20"/>
    </row>
    <row r="171" spans="1:7" x14ac:dyDescent="0.3">
      <c r="A171" s="20"/>
      <c r="B171" s="20"/>
      <c r="C171" s="20"/>
      <c r="D171" s="20"/>
      <c r="E171" s="20"/>
      <c r="F171" s="20"/>
      <c r="G171" s="20"/>
    </row>
    <row r="172" spans="1:7" x14ac:dyDescent="0.3">
      <c r="A172" s="324" t="s">
        <v>3</v>
      </c>
      <c r="B172" s="325"/>
      <c r="C172" s="326"/>
      <c r="D172" s="79" t="s">
        <v>2</v>
      </c>
      <c r="E172" s="20"/>
      <c r="F172" s="20"/>
      <c r="G172" s="20"/>
    </row>
    <row r="173" spans="1:7" x14ac:dyDescent="0.3">
      <c r="A173" s="327" t="s">
        <v>113</v>
      </c>
      <c r="B173" s="328"/>
      <c r="C173" s="329"/>
      <c r="D173" s="80">
        <f>C17</f>
        <v>2</v>
      </c>
      <c r="E173" s="20"/>
      <c r="F173" s="20"/>
      <c r="G173" s="20"/>
    </row>
    <row r="174" spans="1:7" x14ac:dyDescent="0.3">
      <c r="A174" s="327" t="s">
        <v>0</v>
      </c>
      <c r="B174" s="328"/>
      <c r="C174" s="329"/>
      <c r="D174" s="90">
        <f>D173*D170</f>
        <v>12588.742013591556</v>
      </c>
      <c r="E174" s="20"/>
      <c r="F174" s="20"/>
      <c r="G174" s="20"/>
    </row>
    <row r="175" spans="1:7" x14ac:dyDescent="0.3">
      <c r="A175" s="20"/>
      <c r="B175" s="20"/>
      <c r="C175" s="20"/>
      <c r="D175" s="20"/>
      <c r="E175" s="20"/>
      <c r="F175" s="20"/>
      <c r="G175" s="20"/>
    </row>
    <row r="176" spans="1:7" x14ac:dyDescent="0.3">
      <c r="A176" s="20"/>
      <c r="B176" s="20"/>
      <c r="C176" s="20"/>
      <c r="D176" s="20"/>
      <c r="E176" s="20"/>
      <c r="F176" s="20"/>
      <c r="G176" s="20"/>
    </row>
  </sheetData>
  <mergeCells count="96">
    <mergeCell ref="C10:D10"/>
    <mergeCell ref="A1:D1"/>
    <mergeCell ref="A2:B2"/>
    <mergeCell ref="C2:D2"/>
    <mergeCell ref="A3:B3"/>
    <mergeCell ref="C3:D3"/>
    <mergeCell ref="A4:D4"/>
    <mergeCell ref="A5:D5"/>
    <mergeCell ref="C6:D6"/>
    <mergeCell ref="C7:D7"/>
    <mergeCell ref="C8:D8"/>
    <mergeCell ref="C9:D9"/>
    <mergeCell ref="B22:C22"/>
    <mergeCell ref="C11:D11"/>
    <mergeCell ref="C12:D12"/>
    <mergeCell ref="A13:D13"/>
    <mergeCell ref="A14:D14"/>
    <mergeCell ref="A15:D15"/>
    <mergeCell ref="C16:D16"/>
    <mergeCell ref="C17:D17"/>
    <mergeCell ref="C18:D18"/>
    <mergeCell ref="A19:D19"/>
    <mergeCell ref="B20:C20"/>
    <mergeCell ref="B21:C21"/>
    <mergeCell ref="A54:D54"/>
    <mergeCell ref="A23:D23"/>
    <mergeCell ref="A24:D24"/>
    <mergeCell ref="A25:D25"/>
    <mergeCell ref="B26:C26"/>
    <mergeCell ref="A34:C34"/>
    <mergeCell ref="A35:D35"/>
    <mergeCell ref="A36:D36"/>
    <mergeCell ref="A37:D37"/>
    <mergeCell ref="A42:B42"/>
    <mergeCell ref="A43:D43"/>
    <mergeCell ref="A53:B53"/>
    <mergeCell ref="A104:B104"/>
    <mergeCell ref="A64:C64"/>
    <mergeCell ref="A65:D65"/>
    <mergeCell ref="A66:B66"/>
    <mergeCell ref="A70:C70"/>
    <mergeCell ref="A71:D71"/>
    <mergeCell ref="A72:D72"/>
    <mergeCell ref="A73:D73"/>
    <mergeCell ref="A86:B86"/>
    <mergeCell ref="A87:D87"/>
    <mergeCell ref="A98:B98"/>
    <mergeCell ref="A99:D99"/>
    <mergeCell ref="A129:B129"/>
    <mergeCell ref="A105:D105"/>
    <mergeCell ref="A106:B106"/>
    <mergeCell ref="A109:C109"/>
    <mergeCell ref="A110:B110"/>
    <mergeCell ref="A111:B111"/>
    <mergeCell ref="A113:B113"/>
    <mergeCell ref="A114:D114"/>
    <mergeCell ref="A115:D115"/>
    <mergeCell ref="A116:D116"/>
    <mergeCell ref="A120:B120"/>
    <mergeCell ref="A121:D121"/>
    <mergeCell ref="A143:C143"/>
    <mergeCell ref="A130:D130"/>
    <mergeCell ref="A131:B131"/>
    <mergeCell ref="A134:C134"/>
    <mergeCell ref="A135:D135"/>
    <mergeCell ref="A136:D136"/>
    <mergeCell ref="A137:D137"/>
    <mergeCell ref="B138:C138"/>
    <mergeCell ref="B139:C139"/>
    <mergeCell ref="B140:C140"/>
    <mergeCell ref="B141:C141"/>
    <mergeCell ref="B142:C142"/>
    <mergeCell ref="A161:C161"/>
    <mergeCell ref="A144:D144"/>
    <mergeCell ref="A145:C145"/>
    <mergeCell ref="A146:D146"/>
    <mergeCell ref="A147:D147"/>
    <mergeCell ref="A148:D148"/>
    <mergeCell ref="A151:C151"/>
    <mergeCell ref="A153:C153"/>
    <mergeCell ref="B154:D154"/>
    <mergeCell ref="A158:B158"/>
    <mergeCell ref="A159:B159"/>
    <mergeCell ref="A160:D160"/>
    <mergeCell ref="A174:C174"/>
    <mergeCell ref="A162:D162"/>
    <mergeCell ref="B163:C163"/>
    <mergeCell ref="B164:C164"/>
    <mergeCell ref="B165:C165"/>
    <mergeCell ref="B166:C166"/>
    <mergeCell ref="B167:C167"/>
    <mergeCell ref="A168:C168"/>
    <mergeCell ref="B169:C169"/>
    <mergeCell ref="A170:C170"/>
    <mergeCell ref="A172:C172"/>
    <mergeCell ref="A173:C17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986873-DD54-498B-A8D0-BF023DD0B21C}">
  <sheetPr codeName="Planilha9"/>
  <dimension ref="A1:WVO176"/>
  <sheetViews>
    <sheetView zoomScale="85" zoomScaleNormal="85" workbookViewId="0">
      <selection activeCell="A13" sqref="A13:D13"/>
    </sheetView>
  </sheetViews>
  <sheetFormatPr defaultColWidth="0" defaultRowHeight="15.75" customHeight="1" zeroHeight="1" outlineLevelRow="2" x14ac:dyDescent="0.3"/>
  <cols>
    <col min="1" max="1" width="18.7109375" style="21" customWidth="1"/>
    <col min="2" max="2" width="72" style="21" customWidth="1"/>
    <col min="3" max="3" width="22.85546875" style="21" customWidth="1"/>
    <col min="4" max="4" width="29.85546875" style="21" customWidth="1"/>
    <col min="5" max="5" width="11.85546875" style="81" customWidth="1"/>
    <col min="6" max="6" width="9.140625" style="81" customWidth="1"/>
    <col min="7" max="254" width="9.140625" style="81" hidden="1"/>
    <col min="255" max="255" width="18.7109375" style="81" hidden="1"/>
    <col min="256" max="256" width="72" style="81" hidden="1"/>
    <col min="257" max="257" width="22.85546875" style="81" hidden="1"/>
    <col min="258" max="258" width="29.85546875" style="81" hidden="1"/>
    <col min="259" max="260" width="9.140625" style="81" hidden="1"/>
    <col min="261" max="261" width="15.42578125" style="81" hidden="1"/>
    <col min="262" max="510" width="9.140625" style="81" hidden="1"/>
    <col min="511" max="511" width="18.7109375" style="81" hidden="1"/>
    <col min="512" max="512" width="72" style="81" hidden="1"/>
    <col min="513" max="513" width="22.85546875" style="81" hidden="1"/>
    <col min="514" max="514" width="29.85546875" style="81" hidden="1"/>
    <col min="515" max="516" width="9.140625" style="81" hidden="1"/>
    <col min="517" max="517" width="15.42578125" style="81" hidden="1"/>
    <col min="518" max="766" width="9.140625" style="81" hidden="1"/>
    <col min="767" max="767" width="18.7109375" style="81" hidden="1"/>
    <col min="768" max="768" width="72" style="81" hidden="1"/>
    <col min="769" max="769" width="22.85546875" style="81" hidden="1"/>
    <col min="770" max="770" width="29.85546875" style="81" hidden="1"/>
    <col min="771" max="772" width="9.140625" style="81" hidden="1"/>
    <col min="773" max="773" width="15.42578125" style="81" hidden="1"/>
    <col min="774" max="1022" width="9.140625" style="81" hidden="1"/>
    <col min="1023" max="1023" width="18.7109375" style="81" hidden="1"/>
    <col min="1024" max="1024" width="72" style="81" hidden="1"/>
    <col min="1025" max="1025" width="22.85546875" style="81" hidden="1"/>
    <col min="1026" max="1026" width="29.85546875" style="81" hidden="1"/>
    <col min="1027" max="1028" width="9.140625" style="81" hidden="1"/>
    <col min="1029" max="1029" width="15.42578125" style="81" hidden="1"/>
    <col min="1030" max="1278" width="9.140625" style="81" hidden="1"/>
    <col min="1279" max="1279" width="18.7109375" style="81" hidden="1"/>
    <col min="1280" max="1280" width="72" style="81" hidden="1"/>
    <col min="1281" max="1281" width="22.85546875" style="81" hidden="1"/>
    <col min="1282" max="1282" width="29.85546875" style="81" hidden="1"/>
    <col min="1283" max="1284" width="9.140625" style="81" hidden="1"/>
    <col min="1285" max="1285" width="15.42578125" style="81" hidden="1"/>
    <col min="1286" max="1534" width="9.140625" style="81" hidden="1"/>
    <col min="1535" max="1535" width="18.7109375" style="81" hidden="1"/>
    <col min="1536" max="1536" width="72" style="81" hidden="1"/>
    <col min="1537" max="1537" width="22.85546875" style="81" hidden="1"/>
    <col min="1538" max="1538" width="29.85546875" style="81" hidden="1"/>
    <col min="1539" max="1540" width="9.140625" style="81" hidden="1"/>
    <col min="1541" max="1541" width="15.42578125" style="81" hidden="1"/>
    <col min="1542" max="1790" width="9.140625" style="81" hidden="1"/>
    <col min="1791" max="1791" width="18.7109375" style="81" hidden="1"/>
    <col min="1792" max="1792" width="72" style="81" hidden="1"/>
    <col min="1793" max="1793" width="22.85546875" style="81" hidden="1"/>
    <col min="1794" max="1794" width="29.85546875" style="81" hidden="1"/>
    <col min="1795" max="1796" width="9.140625" style="81" hidden="1"/>
    <col min="1797" max="1797" width="15.42578125" style="81" hidden="1"/>
    <col min="1798" max="2046" width="9.140625" style="81" hidden="1"/>
    <col min="2047" max="2047" width="18.7109375" style="81" hidden="1"/>
    <col min="2048" max="2048" width="72" style="81" hidden="1"/>
    <col min="2049" max="2049" width="22.85546875" style="81" hidden="1"/>
    <col min="2050" max="2050" width="29.85546875" style="81" hidden="1"/>
    <col min="2051" max="2052" width="9.140625" style="81" hidden="1"/>
    <col min="2053" max="2053" width="15.42578125" style="81" hidden="1"/>
    <col min="2054" max="2302" width="9.140625" style="81" hidden="1"/>
    <col min="2303" max="2303" width="18.7109375" style="81" hidden="1"/>
    <col min="2304" max="2304" width="72" style="81" hidden="1"/>
    <col min="2305" max="2305" width="22.85546875" style="81" hidden="1"/>
    <col min="2306" max="2306" width="29.85546875" style="81" hidden="1"/>
    <col min="2307" max="2308" width="9.140625" style="81" hidden="1"/>
    <col min="2309" max="2309" width="15.42578125" style="81" hidden="1"/>
    <col min="2310" max="2558" width="9.140625" style="81" hidden="1"/>
    <col min="2559" max="2559" width="18.7109375" style="81" hidden="1"/>
    <col min="2560" max="2560" width="72" style="81" hidden="1"/>
    <col min="2561" max="2561" width="22.85546875" style="81" hidden="1"/>
    <col min="2562" max="2562" width="29.85546875" style="81" hidden="1"/>
    <col min="2563" max="2564" width="9.140625" style="81" hidden="1"/>
    <col min="2565" max="2565" width="15.42578125" style="81" hidden="1"/>
    <col min="2566" max="2814" width="9.140625" style="81" hidden="1"/>
    <col min="2815" max="2815" width="18.7109375" style="81" hidden="1"/>
    <col min="2816" max="2816" width="72" style="81" hidden="1"/>
    <col min="2817" max="2817" width="22.85546875" style="81" hidden="1"/>
    <col min="2818" max="2818" width="29.85546875" style="81" hidden="1"/>
    <col min="2819" max="2820" width="9.140625" style="81" hidden="1"/>
    <col min="2821" max="2821" width="15.42578125" style="81" hidden="1"/>
    <col min="2822" max="3070" width="9.140625" style="81" hidden="1"/>
    <col min="3071" max="3071" width="18.7109375" style="81" hidden="1"/>
    <col min="3072" max="3072" width="72" style="81" hidden="1"/>
    <col min="3073" max="3073" width="22.85546875" style="81" hidden="1"/>
    <col min="3074" max="3074" width="29.85546875" style="81" hidden="1"/>
    <col min="3075" max="3076" width="9.140625" style="81" hidden="1"/>
    <col min="3077" max="3077" width="15.42578125" style="81" hidden="1"/>
    <col min="3078" max="3326" width="9.140625" style="81" hidden="1"/>
    <col min="3327" max="3327" width="18.7109375" style="81" hidden="1"/>
    <col min="3328" max="3328" width="72" style="81" hidden="1"/>
    <col min="3329" max="3329" width="22.85546875" style="81" hidden="1"/>
    <col min="3330" max="3330" width="29.85546875" style="81" hidden="1"/>
    <col min="3331" max="3332" width="9.140625" style="81" hidden="1"/>
    <col min="3333" max="3333" width="15.42578125" style="81" hidden="1"/>
    <col min="3334" max="3582" width="9.140625" style="81" hidden="1"/>
    <col min="3583" max="3583" width="18.7109375" style="81" hidden="1"/>
    <col min="3584" max="3584" width="72" style="81" hidden="1"/>
    <col min="3585" max="3585" width="22.85546875" style="81" hidden="1"/>
    <col min="3586" max="3586" width="29.85546875" style="81" hidden="1"/>
    <col min="3587" max="3588" width="9.140625" style="81" hidden="1"/>
    <col min="3589" max="3589" width="15.42578125" style="81" hidden="1"/>
    <col min="3590" max="3838" width="9.140625" style="81" hidden="1"/>
    <col min="3839" max="3839" width="18.7109375" style="81" hidden="1"/>
    <col min="3840" max="3840" width="72" style="81" hidden="1"/>
    <col min="3841" max="3841" width="22.85546875" style="81" hidden="1"/>
    <col min="3842" max="3842" width="29.85546875" style="81" hidden="1"/>
    <col min="3843" max="3844" width="9.140625" style="81" hidden="1"/>
    <col min="3845" max="3845" width="15.42578125" style="81" hidden="1"/>
    <col min="3846" max="4094" width="9.140625" style="81" hidden="1"/>
    <col min="4095" max="4095" width="18.7109375" style="81" hidden="1"/>
    <col min="4096" max="4096" width="72" style="81" hidden="1"/>
    <col min="4097" max="4097" width="22.85546875" style="81" hidden="1"/>
    <col min="4098" max="4098" width="29.85546875" style="81" hidden="1"/>
    <col min="4099" max="4100" width="9.140625" style="81" hidden="1"/>
    <col min="4101" max="4101" width="15.42578125" style="81" hidden="1"/>
    <col min="4102" max="4350" width="9.140625" style="81" hidden="1"/>
    <col min="4351" max="4351" width="18.7109375" style="81" hidden="1"/>
    <col min="4352" max="4352" width="72" style="81" hidden="1"/>
    <col min="4353" max="4353" width="22.85546875" style="81" hidden="1"/>
    <col min="4354" max="4354" width="29.85546875" style="81" hidden="1"/>
    <col min="4355" max="4356" width="9.140625" style="81" hidden="1"/>
    <col min="4357" max="4357" width="15.42578125" style="81" hidden="1"/>
    <col min="4358" max="4606" width="9.140625" style="81" hidden="1"/>
    <col min="4607" max="4607" width="18.7109375" style="81" hidden="1"/>
    <col min="4608" max="4608" width="72" style="81" hidden="1"/>
    <col min="4609" max="4609" width="22.85546875" style="81" hidden="1"/>
    <col min="4610" max="4610" width="29.85546875" style="81" hidden="1"/>
    <col min="4611" max="4612" width="9.140625" style="81" hidden="1"/>
    <col min="4613" max="4613" width="15.42578125" style="81" hidden="1"/>
    <col min="4614" max="4862" width="9.140625" style="81" hidden="1"/>
    <col min="4863" max="4863" width="18.7109375" style="81" hidden="1"/>
    <col min="4864" max="4864" width="72" style="81" hidden="1"/>
    <col min="4865" max="4865" width="22.85546875" style="81" hidden="1"/>
    <col min="4866" max="4866" width="29.85546875" style="81" hidden="1"/>
    <col min="4867" max="4868" width="9.140625" style="81" hidden="1"/>
    <col min="4869" max="4869" width="15.42578125" style="81" hidden="1"/>
    <col min="4870" max="5118" width="9.140625" style="81" hidden="1"/>
    <col min="5119" max="5119" width="18.7109375" style="81" hidden="1"/>
    <col min="5120" max="5120" width="72" style="81" hidden="1"/>
    <col min="5121" max="5121" width="22.85546875" style="81" hidden="1"/>
    <col min="5122" max="5122" width="29.85546875" style="81" hidden="1"/>
    <col min="5123" max="5124" width="9.140625" style="81" hidden="1"/>
    <col min="5125" max="5125" width="15.42578125" style="81" hidden="1"/>
    <col min="5126" max="5374" width="9.140625" style="81" hidden="1"/>
    <col min="5375" max="5375" width="18.7109375" style="81" hidden="1"/>
    <col min="5376" max="5376" width="72" style="81" hidden="1"/>
    <col min="5377" max="5377" width="22.85546875" style="81" hidden="1"/>
    <col min="5378" max="5378" width="29.85546875" style="81" hidden="1"/>
    <col min="5379" max="5380" width="9.140625" style="81" hidden="1"/>
    <col min="5381" max="5381" width="15.42578125" style="81" hidden="1"/>
    <col min="5382" max="5630" width="9.140625" style="81" hidden="1"/>
    <col min="5631" max="5631" width="18.7109375" style="81" hidden="1"/>
    <col min="5632" max="5632" width="72" style="81" hidden="1"/>
    <col min="5633" max="5633" width="22.85546875" style="81" hidden="1"/>
    <col min="5634" max="5634" width="29.85546875" style="81" hidden="1"/>
    <col min="5635" max="5636" width="9.140625" style="81" hidden="1"/>
    <col min="5637" max="5637" width="15.42578125" style="81" hidden="1"/>
    <col min="5638" max="5886" width="9.140625" style="81" hidden="1"/>
    <col min="5887" max="5887" width="18.7109375" style="81" hidden="1"/>
    <col min="5888" max="5888" width="72" style="81" hidden="1"/>
    <col min="5889" max="5889" width="22.85546875" style="81" hidden="1"/>
    <col min="5890" max="5890" width="29.85546875" style="81" hidden="1"/>
    <col min="5891" max="5892" width="9.140625" style="81" hidden="1"/>
    <col min="5893" max="5893" width="15.42578125" style="81" hidden="1"/>
    <col min="5894" max="6142" width="9.140625" style="81" hidden="1"/>
    <col min="6143" max="6143" width="18.7109375" style="81" hidden="1"/>
    <col min="6144" max="6144" width="72" style="81" hidden="1"/>
    <col min="6145" max="6145" width="22.85546875" style="81" hidden="1"/>
    <col min="6146" max="6146" width="29.85546875" style="81" hidden="1"/>
    <col min="6147" max="6148" width="9.140625" style="81" hidden="1"/>
    <col min="6149" max="6149" width="15.42578125" style="81" hidden="1"/>
    <col min="6150" max="6398" width="9.140625" style="81" hidden="1"/>
    <col min="6399" max="6399" width="18.7109375" style="81" hidden="1"/>
    <col min="6400" max="6400" width="72" style="81" hidden="1"/>
    <col min="6401" max="6401" width="22.85546875" style="81" hidden="1"/>
    <col min="6402" max="6402" width="29.85546875" style="81" hidden="1"/>
    <col min="6403" max="6404" width="9.140625" style="81" hidden="1"/>
    <col min="6405" max="6405" width="15.42578125" style="81" hidden="1"/>
    <col min="6406" max="6654" width="9.140625" style="81" hidden="1"/>
    <col min="6655" max="6655" width="18.7109375" style="81" hidden="1"/>
    <col min="6656" max="6656" width="72" style="81" hidden="1"/>
    <col min="6657" max="6657" width="22.85546875" style="81" hidden="1"/>
    <col min="6658" max="6658" width="29.85546875" style="81" hidden="1"/>
    <col min="6659" max="6660" width="9.140625" style="81" hidden="1"/>
    <col min="6661" max="6661" width="15.42578125" style="81" hidden="1"/>
    <col min="6662" max="6910" width="9.140625" style="81" hidden="1"/>
    <col min="6911" max="6911" width="18.7109375" style="81" hidden="1"/>
    <col min="6912" max="6912" width="72" style="81" hidden="1"/>
    <col min="6913" max="6913" width="22.85546875" style="81" hidden="1"/>
    <col min="6914" max="6914" width="29.85546875" style="81" hidden="1"/>
    <col min="6915" max="6916" width="9.140625" style="81" hidden="1"/>
    <col min="6917" max="6917" width="15.42578125" style="81" hidden="1"/>
    <col min="6918" max="7166" width="9.140625" style="81" hidden="1"/>
    <col min="7167" max="7167" width="18.7109375" style="81" hidden="1"/>
    <col min="7168" max="7168" width="72" style="81" hidden="1"/>
    <col min="7169" max="7169" width="22.85546875" style="81" hidden="1"/>
    <col min="7170" max="7170" width="29.85546875" style="81" hidden="1"/>
    <col min="7171" max="7172" width="9.140625" style="81" hidden="1"/>
    <col min="7173" max="7173" width="15.42578125" style="81" hidden="1"/>
    <col min="7174" max="7422" width="9.140625" style="81" hidden="1"/>
    <col min="7423" max="7423" width="18.7109375" style="81" hidden="1"/>
    <col min="7424" max="7424" width="72" style="81" hidden="1"/>
    <col min="7425" max="7425" width="22.85546875" style="81" hidden="1"/>
    <col min="7426" max="7426" width="29.85546875" style="81" hidden="1"/>
    <col min="7427" max="7428" width="9.140625" style="81" hidden="1"/>
    <col min="7429" max="7429" width="15.42578125" style="81" hidden="1"/>
    <col min="7430" max="7678" width="9.140625" style="81" hidden="1"/>
    <col min="7679" max="7679" width="18.7109375" style="81" hidden="1"/>
    <col min="7680" max="7680" width="72" style="81" hidden="1"/>
    <col min="7681" max="7681" width="22.85546875" style="81" hidden="1"/>
    <col min="7682" max="7682" width="29.85546875" style="81" hidden="1"/>
    <col min="7683" max="7684" width="9.140625" style="81" hidden="1"/>
    <col min="7685" max="7685" width="15.42578125" style="81" hidden="1"/>
    <col min="7686" max="7934" width="9.140625" style="81" hidden="1"/>
    <col min="7935" max="7935" width="18.7109375" style="81" hidden="1"/>
    <col min="7936" max="7936" width="72" style="81" hidden="1"/>
    <col min="7937" max="7937" width="22.85546875" style="81" hidden="1"/>
    <col min="7938" max="7938" width="29.85546875" style="81" hidden="1"/>
    <col min="7939" max="7940" width="9.140625" style="81" hidden="1"/>
    <col min="7941" max="7941" width="15.42578125" style="81" hidden="1"/>
    <col min="7942" max="8190" width="9.140625" style="81" hidden="1"/>
    <col min="8191" max="8191" width="18.7109375" style="81" hidden="1"/>
    <col min="8192" max="8192" width="72" style="81" hidden="1"/>
    <col min="8193" max="8193" width="22.85546875" style="81" hidden="1"/>
    <col min="8194" max="8194" width="29.85546875" style="81" hidden="1"/>
    <col min="8195" max="8196" width="9.140625" style="81" hidden="1"/>
    <col min="8197" max="8197" width="15.42578125" style="81" hidden="1"/>
    <col min="8198" max="8446" width="9.140625" style="81" hidden="1"/>
    <col min="8447" max="8447" width="18.7109375" style="81" hidden="1"/>
    <col min="8448" max="8448" width="72" style="81" hidden="1"/>
    <col min="8449" max="8449" width="22.85546875" style="81" hidden="1"/>
    <col min="8450" max="8450" width="29.85546875" style="81" hidden="1"/>
    <col min="8451" max="8452" width="9.140625" style="81" hidden="1"/>
    <col min="8453" max="8453" width="15.42578125" style="81" hidden="1"/>
    <col min="8454" max="8702" width="9.140625" style="81" hidden="1"/>
    <col min="8703" max="8703" width="18.7109375" style="81" hidden="1"/>
    <col min="8704" max="8704" width="72" style="81" hidden="1"/>
    <col min="8705" max="8705" width="22.85546875" style="81" hidden="1"/>
    <col min="8706" max="8706" width="29.85546875" style="81" hidden="1"/>
    <col min="8707" max="8708" width="9.140625" style="81" hidden="1"/>
    <col min="8709" max="8709" width="15.42578125" style="81" hidden="1"/>
    <col min="8710" max="8958" width="9.140625" style="81" hidden="1"/>
    <col min="8959" max="8959" width="18.7109375" style="81" hidden="1"/>
    <col min="8960" max="8960" width="72" style="81" hidden="1"/>
    <col min="8961" max="8961" width="22.85546875" style="81" hidden="1"/>
    <col min="8962" max="8962" width="29.85546875" style="81" hidden="1"/>
    <col min="8963" max="8964" width="9.140625" style="81" hidden="1"/>
    <col min="8965" max="8965" width="15.42578125" style="81" hidden="1"/>
    <col min="8966" max="9214" width="9.140625" style="81" hidden="1"/>
    <col min="9215" max="9215" width="18.7109375" style="81" hidden="1"/>
    <col min="9216" max="9216" width="72" style="81" hidden="1"/>
    <col min="9217" max="9217" width="22.85546875" style="81" hidden="1"/>
    <col min="9218" max="9218" width="29.85546875" style="81" hidden="1"/>
    <col min="9219" max="9220" width="9.140625" style="81" hidden="1"/>
    <col min="9221" max="9221" width="15.42578125" style="81" hidden="1"/>
    <col min="9222" max="9470" width="9.140625" style="81" hidden="1"/>
    <col min="9471" max="9471" width="18.7109375" style="81" hidden="1"/>
    <col min="9472" max="9472" width="72" style="81" hidden="1"/>
    <col min="9473" max="9473" width="22.85546875" style="81" hidden="1"/>
    <col min="9474" max="9474" width="29.85546875" style="81" hidden="1"/>
    <col min="9475" max="9476" width="9.140625" style="81" hidden="1"/>
    <col min="9477" max="9477" width="15.42578125" style="81" hidden="1"/>
    <col min="9478" max="9726" width="9.140625" style="81" hidden="1"/>
    <col min="9727" max="9727" width="18.7109375" style="81" hidden="1"/>
    <col min="9728" max="9728" width="72" style="81" hidden="1"/>
    <col min="9729" max="9729" width="22.85546875" style="81" hidden="1"/>
    <col min="9730" max="9730" width="29.85546875" style="81" hidden="1"/>
    <col min="9731" max="9732" width="9.140625" style="81" hidden="1"/>
    <col min="9733" max="9733" width="15.42578125" style="81" hidden="1"/>
    <col min="9734" max="9982" width="9.140625" style="81" hidden="1"/>
    <col min="9983" max="9983" width="18.7109375" style="81" hidden="1"/>
    <col min="9984" max="9984" width="72" style="81" hidden="1"/>
    <col min="9985" max="9985" width="22.85546875" style="81" hidden="1"/>
    <col min="9986" max="9986" width="29.85546875" style="81" hidden="1"/>
    <col min="9987" max="9988" width="9.140625" style="81" hidden="1"/>
    <col min="9989" max="9989" width="15.42578125" style="81" hidden="1"/>
    <col min="9990" max="10238" width="9.140625" style="81" hidden="1"/>
    <col min="10239" max="10239" width="18.7109375" style="81" hidden="1"/>
    <col min="10240" max="10240" width="72" style="81" hidden="1"/>
    <col min="10241" max="10241" width="22.85546875" style="81" hidden="1"/>
    <col min="10242" max="10242" width="29.85546875" style="81" hidden="1"/>
    <col min="10243" max="10244" width="9.140625" style="81" hidden="1"/>
    <col min="10245" max="10245" width="15.42578125" style="81" hidden="1"/>
    <col min="10246" max="10494" width="9.140625" style="81" hidden="1"/>
    <col min="10495" max="10495" width="18.7109375" style="81" hidden="1"/>
    <col min="10496" max="10496" width="72" style="81" hidden="1"/>
    <col min="10497" max="10497" width="22.85546875" style="81" hidden="1"/>
    <col min="10498" max="10498" width="29.85546875" style="81" hidden="1"/>
    <col min="10499" max="10500" width="9.140625" style="81" hidden="1"/>
    <col min="10501" max="10501" width="15.42578125" style="81" hidden="1"/>
    <col min="10502" max="10750" width="9.140625" style="81" hidden="1"/>
    <col min="10751" max="10751" width="18.7109375" style="81" hidden="1"/>
    <col min="10752" max="10752" width="72" style="81" hidden="1"/>
    <col min="10753" max="10753" width="22.85546875" style="81" hidden="1"/>
    <col min="10754" max="10754" width="29.85546875" style="81" hidden="1"/>
    <col min="10755" max="10756" width="9.140625" style="81" hidden="1"/>
    <col min="10757" max="10757" width="15.42578125" style="81" hidden="1"/>
    <col min="10758" max="11006" width="9.140625" style="81" hidden="1"/>
    <col min="11007" max="11007" width="18.7109375" style="81" hidden="1"/>
    <col min="11008" max="11008" width="72" style="81" hidden="1"/>
    <col min="11009" max="11009" width="22.85546875" style="81" hidden="1"/>
    <col min="11010" max="11010" width="29.85546875" style="81" hidden="1"/>
    <col min="11011" max="11012" width="9.140625" style="81" hidden="1"/>
    <col min="11013" max="11013" width="15.42578125" style="81" hidden="1"/>
    <col min="11014" max="11262" width="9.140625" style="81" hidden="1"/>
    <col min="11263" max="11263" width="18.7109375" style="81" hidden="1"/>
    <col min="11264" max="11264" width="72" style="81" hidden="1"/>
    <col min="11265" max="11265" width="22.85546875" style="81" hidden="1"/>
    <col min="11266" max="11266" width="29.85546875" style="81" hidden="1"/>
    <col min="11267" max="11268" width="9.140625" style="81" hidden="1"/>
    <col min="11269" max="11269" width="15.42578125" style="81" hidden="1"/>
    <col min="11270" max="11518" width="9.140625" style="81" hidden="1"/>
    <col min="11519" max="11519" width="18.7109375" style="81" hidden="1"/>
    <col min="11520" max="11520" width="72" style="81" hidden="1"/>
    <col min="11521" max="11521" width="22.85546875" style="81" hidden="1"/>
    <col min="11522" max="11522" width="29.85546875" style="81" hidden="1"/>
    <col min="11523" max="11524" width="9.140625" style="81" hidden="1"/>
    <col min="11525" max="11525" width="15.42578125" style="81" hidden="1"/>
    <col min="11526" max="11774" width="9.140625" style="81" hidden="1"/>
    <col min="11775" max="11775" width="18.7109375" style="81" hidden="1"/>
    <col min="11776" max="11776" width="72" style="81" hidden="1"/>
    <col min="11777" max="11777" width="22.85546875" style="81" hidden="1"/>
    <col min="11778" max="11778" width="29.85546875" style="81" hidden="1"/>
    <col min="11779" max="11780" width="9.140625" style="81" hidden="1"/>
    <col min="11781" max="11781" width="15.42578125" style="81" hidden="1"/>
    <col min="11782" max="12030" width="9.140625" style="81" hidden="1"/>
    <col min="12031" max="12031" width="18.7109375" style="81" hidden="1"/>
    <col min="12032" max="12032" width="72" style="81" hidden="1"/>
    <col min="12033" max="12033" width="22.85546875" style="81" hidden="1"/>
    <col min="12034" max="12034" width="29.85546875" style="81" hidden="1"/>
    <col min="12035" max="12036" width="9.140625" style="81" hidden="1"/>
    <col min="12037" max="12037" width="15.42578125" style="81" hidden="1"/>
    <col min="12038" max="12286" width="9.140625" style="81" hidden="1"/>
    <col min="12287" max="12287" width="18.7109375" style="81" hidden="1"/>
    <col min="12288" max="12288" width="72" style="81" hidden="1"/>
    <col min="12289" max="12289" width="22.85546875" style="81" hidden="1"/>
    <col min="12290" max="12290" width="29.85546875" style="81" hidden="1"/>
    <col min="12291" max="12292" width="9.140625" style="81" hidden="1"/>
    <col min="12293" max="12293" width="15.42578125" style="81" hidden="1"/>
    <col min="12294" max="12542" width="9.140625" style="81" hidden="1"/>
    <col min="12543" max="12543" width="18.7109375" style="81" hidden="1"/>
    <col min="12544" max="12544" width="72" style="81" hidden="1"/>
    <col min="12545" max="12545" width="22.85546875" style="81" hidden="1"/>
    <col min="12546" max="12546" width="29.85546875" style="81" hidden="1"/>
    <col min="12547" max="12548" width="9.140625" style="81" hidden="1"/>
    <col min="12549" max="12549" width="15.42578125" style="81" hidden="1"/>
    <col min="12550" max="12798" width="9.140625" style="81" hidden="1"/>
    <col min="12799" max="12799" width="18.7109375" style="81" hidden="1"/>
    <col min="12800" max="12800" width="72" style="81" hidden="1"/>
    <col min="12801" max="12801" width="22.85546875" style="81" hidden="1"/>
    <col min="12802" max="12802" width="29.85546875" style="81" hidden="1"/>
    <col min="12803" max="12804" width="9.140625" style="81" hidden="1"/>
    <col min="12805" max="12805" width="15.42578125" style="81" hidden="1"/>
    <col min="12806" max="13054" width="9.140625" style="81" hidden="1"/>
    <col min="13055" max="13055" width="18.7109375" style="81" hidden="1"/>
    <col min="13056" max="13056" width="72" style="81" hidden="1"/>
    <col min="13057" max="13057" width="22.85546875" style="81" hidden="1"/>
    <col min="13058" max="13058" width="29.85546875" style="81" hidden="1"/>
    <col min="13059" max="13060" width="9.140625" style="81" hidden="1"/>
    <col min="13061" max="13061" width="15.42578125" style="81" hidden="1"/>
    <col min="13062" max="13310" width="9.140625" style="81" hidden="1"/>
    <col min="13311" max="13311" width="18.7109375" style="81" hidden="1"/>
    <col min="13312" max="13312" width="72" style="81" hidden="1"/>
    <col min="13313" max="13313" width="22.85546875" style="81" hidden="1"/>
    <col min="13314" max="13314" width="29.85546875" style="81" hidden="1"/>
    <col min="13315" max="13316" width="9.140625" style="81" hidden="1"/>
    <col min="13317" max="13317" width="15.42578125" style="81" hidden="1"/>
    <col min="13318" max="13566" width="9.140625" style="81" hidden="1"/>
    <col min="13567" max="13567" width="18.7109375" style="81" hidden="1"/>
    <col min="13568" max="13568" width="72" style="81" hidden="1"/>
    <col min="13569" max="13569" width="22.85546875" style="81" hidden="1"/>
    <col min="13570" max="13570" width="29.85546875" style="81" hidden="1"/>
    <col min="13571" max="13572" width="9.140625" style="81" hidden="1"/>
    <col min="13573" max="13573" width="15.42578125" style="81" hidden="1"/>
    <col min="13574" max="13822" width="9.140625" style="81" hidden="1"/>
    <col min="13823" max="13823" width="18.7109375" style="81" hidden="1"/>
    <col min="13824" max="13824" width="72" style="81" hidden="1"/>
    <col min="13825" max="13825" width="22.85546875" style="81" hidden="1"/>
    <col min="13826" max="13826" width="29.85546875" style="81" hidden="1"/>
    <col min="13827" max="13828" width="9.140625" style="81" hidden="1"/>
    <col min="13829" max="13829" width="15.42578125" style="81" hidden="1"/>
    <col min="13830" max="14078" width="9.140625" style="81" hidden="1"/>
    <col min="14079" max="14079" width="18.7109375" style="81" hidden="1"/>
    <col min="14080" max="14080" width="72" style="81" hidden="1"/>
    <col min="14081" max="14081" width="22.85546875" style="81" hidden="1"/>
    <col min="14082" max="14082" width="29.85546875" style="81" hidden="1"/>
    <col min="14083" max="14084" width="9.140625" style="81" hidden="1"/>
    <col min="14085" max="14085" width="15.42578125" style="81" hidden="1"/>
    <col min="14086" max="14334" width="9.140625" style="81" hidden="1"/>
    <col min="14335" max="14335" width="18.7109375" style="81" hidden="1"/>
    <col min="14336" max="14336" width="72" style="81" hidden="1"/>
    <col min="14337" max="14337" width="22.85546875" style="81" hidden="1"/>
    <col min="14338" max="14338" width="29.85546875" style="81" hidden="1"/>
    <col min="14339" max="14340" width="9.140625" style="81" hidden="1"/>
    <col min="14341" max="14341" width="15.42578125" style="81" hidden="1"/>
    <col min="14342" max="14590" width="9.140625" style="81" hidden="1"/>
    <col min="14591" max="14591" width="18.7109375" style="81" hidden="1"/>
    <col min="14592" max="14592" width="72" style="81" hidden="1"/>
    <col min="14593" max="14593" width="22.85546875" style="81" hidden="1"/>
    <col min="14594" max="14594" width="29.85546875" style="81" hidden="1"/>
    <col min="14595" max="14596" width="9.140625" style="81" hidden="1"/>
    <col min="14597" max="14597" width="15.42578125" style="81" hidden="1"/>
    <col min="14598" max="14846" width="9.140625" style="81" hidden="1"/>
    <col min="14847" max="14847" width="18.7109375" style="81" hidden="1"/>
    <col min="14848" max="14848" width="72" style="81" hidden="1"/>
    <col min="14849" max="14849" width="22.85546875" style="81" hidden="1"/>
    <col min="14850" max="14850" width="29.85546875" style="81" hidden="1"/>
    <col min="14851" max="14852" width="9.140625" style="81" hidden="1"/>
    <col min="14853" max="14853" width="15.42578125" style="81" hidden="1"/>
    <col min="14854" max="15102" width="9.140625" style="81" hidden="1"/>
    <col min="15103" max="15103" width="18.7109375" style="81" hidden="1"/>
    <col min="15104" max="15104" width="72" style="81" hidden="1"/>
    <col min="15105" max="15105" width="22.85546875" style="81" hidden="1"/>
    <col min="15106" max="15106" width="29.85546875" style="81" hidden="1"/>
    <col min="15107" max="15108" width="9.140625" style="81" hidden="1"/>
    <col min="15109" max="15109" width="15.42578125" style="81" hidden="1"/>
    <col min="15110" max="15358" width="9.140625" style="81" hidden="1"/>
    <col min="15359" max="15359" width="18.7109375" style="81" hidden="1"/>
    <col min="15360" max="15360" width="72" style="81" hidden="1"/>
    <col min="15361" max="15361" width="22.85546875" style="81" hidden="1"/>
    <col min="15362" max="15362" width="29.85546875" style="81" hidden="1"/>
    <col min="15363" max="15364" width="9.140625" style="81" hidden="1"/>
    <col min="15365" max="15365" width="15.42578125" style="81" hidden="1"/>
    <col min="15366" max="15614" width="9.140625" style="81" hidden="1"/>
    <col min="15615" max="15615" width="18.7109375" style="81" hidden="1"/>
    <col min="15616" max="15616" width="72" style="81" hidden="1"/>
    <col min="15617" max="15617" width="22.85546875" style="81" hidden="1"/>
    <col min="15618" max="15618" width="29.85546875" style="81" hidden="1"/>
    <col min="15619" max="15620" width="9.140625" style="81" hidden="1"/>
    <col min="15621" max="15621" width="15.42578125" style="81" hidden="1"/>
    <col min="15622" max="15870" width="9.140625" style="81" hidden="1"/>
    <col min="15871" max="15871" width="18.7109375" style="81" hidden="1"/>
    <col min="15872" max="15872" width="72" style="81" hidden="1"/>
    <col min="15873" max="15873" width="22.85546875" style="81" hidden="1"/>
    <col min="15874" max="15874" width="29.85546875" style="81" hidden="1"/>
    <col min="15875" max="15876" width="9.140625" style="81" hidden="1"/>
    <col min="15877" max="15877" width="15.42578125" style="81" hidden="1"/>
    <col min="15878" max="16126" width="9.140625" style="81" hidden="1"/>
    <col min="16127" max="16127" width="18.7109375" style="81" hidden="1"/>
    <col min="16128" max="16128" width="72" style="81" hidden="1"/>
    <col min="16129" max="16129" width="22.85546875" style="81" hidden="1"/>
    <col min="16130" max="16130" width="29.85546875" style="81" hidden="1"/>
    <col min="16131" max="16132" width="9.140625" style="81" hidden="1"/>
    <col min="16133" max="16135" width="15.42578125" style="81" hidden="1"/>
    <col min="16136" max="16384" width="9.140625" style="81" hidden="1"/>
  </cols>
  <sheetData>
    <row r="1" spans="1:7" x14ac:dyDescent="0.3">
      <c r="A1" s="251" t="s">
        <v>9</v>
      </c>
      <c r="B1" s="251"/>
      <c r="C1" s="251"/>
      <c r="D1" s="251"/>
      <c r="E1" s="20"/>
      <c r="F1" s="20"/>
      <c r="G1" s="20"/>
    </row>
    <row r="2" spans="1:7" x14ac:dyDescent="0.3">
      <c r="A2" s="252" t="s">
        <v>15</v>
      </c>
      <c r="B2" s="252"/>
      <c r="C2" s="253" t="s">
        <v>221</v>
      </c>
      <c r="D2" s="254"/>
      <c r="E2" s="20"/>
      <c r="F2" s="20"/>
      <c r="G2" s="20"/>
    </row>
    <row r="3" spans="1:7" x14ac:dyDescent="0.3">
      <c r="A3" s="252" t="s">
        <v>16</v>
      </c>
      <c r="B3" s="252"/>
      <c r="C3" s="253" t="s">
        <v>198</v>
      </c>
      <c r="D3" s="254"/>
      <c r="E3" s="20"/>
      <c r="F3" s="20"/>
      <c r="G3" s="20"/>
    </row>
    <row r="4" spans="1:7" x14ac:dyDescent="0.3">
      <c r="A4" s="250"/>
      <c r="B4" s="250"/>
      <c r="C4" s="250"/>
      <c r="D4" s="250"/>
      <c r="E4" s="20"/>
      <c r="F4" s="20"/>
      <c r="G4" s="20"/>
    </row>
    <row r="5" spans="1:7" x14ac:dyDescent="0.3">
      <c r="A5" s="250" t="s">
        <v>17</v>
      </c>
      <c r="B5" s="250"/>
      <c r="C5" s="250"/>
      <c r="D5" s="250"/>
      <c r="E5" s="20"/>
      <c r="F5" s="20"/>
      <c r="G5" s="20"/>
    </row>
    <row r="6" spans="1:7" x14ac:dyDescent="0.3">
      <c r="A6" s="156" t="s">
        <v>18</v>
      </c>
      <c r="B6" s="158" t="s">
        <v>8</v>
      </c>
      <c r="C6" s="257" t="s">
        <v>96</v>
      </c>
      <c r="D6" s="258"/>
      <c r="E6" s="20"/>
      <c r="F6" s="20"/>
      <c r="G6" s="20"/>
    </row>
    <row r="7" spans="1:7" x14ac:dyDescent="0.3">
      <c r="A7" s="156" t="s">
        <v>19</v>
      </c>
      <c r="B7" s="158" t="s">
        <v>7</v>
      </c>
      <c r="C7" s="259" t="s">
        <v>259</v>
      </c>
      <c r="D7" s="259"/>
      <c r="E7" s="20"/>
      <c r="F7" s="20"/>
      <c r="G7" s="20"/>
    </row>
    <row r="8" spans="1:7" x14ac:dyDescent="0.3">
      <c r="A8" s="22" t="s">
        <v>20</v>
      </c>
      <c r="B8" s="23" t="s">
        <v>21</v>
      </c>
      <c r="C8" s="260" t="s">
        <v>222</v>
      </c>
      <c r="D8" s="261"/>
      <c r="E8" s="20"/>
      <c r="F8" s="20"/>
      <c r="G8" s="20"/>
    </row>
    <row r="9" spans="1:7" x14ac:dyDescent="0.3">
      <c r="A9" s="156" t="s">
        <v>22</v>
      </c>
      <c r="B9" s="158" t="s">
        <v>23</v>
      </c>
      <c r="C9" s="255" t="s">
        <v>24</v>
      </c>
      <c r="D9" s="256"/>
      <c r="E9" s="20"/>
      <c r="F9" s="20"/>
      <c r="G9" s="20"/>
    </row>
    <row r="10" spans="1:7" x14ac:dyDescent="0.3">
      <c r="A10" s="156" t="s">
        <v>25</v>
      </c>
      <c r="B10" s="158" t="s">
        <v>26</v>
      </c>
      <c r="C10" s="255" t="s">
        <v>199</v>
      </c>
      <c r="D10" s="256"/>
      <c r="E10" s="20"/>
      <c r="F10" s="20"/>
      <c r="G10" s="20"/>
    </row>
    <row r="11" spans="1:7" x14ac:dyDescent="0.3">
      <c r="A11" s="156" t="s">
        <v>27</v>
      </c>
      <c r="B11" s="158" t="s">
        <v>28</v>
      </c>
      <c r="C11" s="262">
        <f>Proposta!F5</f>
        <v>1</v>
      </c>
      <c r="D11" s="263"/>
      <c r="E11" s="20"/>
      <c r="F11" s="20"/>
      <c r="G11" s="20"/>
    </row>
    <row r="12" spans="1:7" x14ac:dyDescent="0.3">
      <c r="A12" s="156" t="s">
        <v>29</v>
      </c>
      <c r="B12" s="158" t="s">
        <v>30</v>
      </c>
      <c r="C12" s="264">
        <f>Proposta!H5</f>
        <v>24</v>
      </c>
      <c r="D12" s="265"/>
      <c r="E12" s="20"/>
      <c r="F12" s="20"/>
      <c r="G12" s="20"/>
    </row>
    <row r="13" spans="1:7" x14ac:dyDescent="0.3">
      <c r="A13" s="266"/>
      <c r="B13" s="267"/>
      <c r="C13" s="267"/>
      <c r="D13" s="267"/>
      <c r="E13" s="20"/>
      <c r="F13" s="20"/>
      <c r="G13" s="20"/>
    </row>
    <row r="14" spans="1:7" x14ac:dyDescent="0.3">
      <c r="A14" s="268" t="s">
        <v>31</v>
      </c>
      <c r="B14" s="269"/>
      <c r="C14" s="269"/>
      <c r="D14" s="270"/>
      <c r="E14" s="20"/>
      <c r="F14" s="20"/>
      <c r="G14" s="20"/>
    </row>
    <row r="15" spans="1:7" x14ac:dyDescent="0.3">
      <c r="A15" s="259" t="s">
        <v>32</v>
      </c>
      <c r="B15" s="259"/>
      <c r="C15" s="259"/>
      <c r="D15" s="259"/>
      <c r="E15" s="20"/>
      <c r="F15" s="20"/>
      <c r="G15" s="20"/>
    </row>
    <row r="16" spans="1:7" x14ac:dyDescent="0.3">
      <c r="A16" s="156">
        <v>1</v>
      </c>
      <c r="B16" s="158" t="s">
        <v>33</v>
      </c>
      <c r="C16" s="255" t="s">
        <v>1</v>
      </c>
      <c r="D16" s="256" t="s">
        <v>1</v>
      </c>
      <c r="E16" s="20"/>
      <c r="F16" s="20"/>
      <c r="G16" s="20"/>
    </row>
    <row r="17" spans="1:7" x14ac:dyDescent="0.3">
      <c r="A17" s="156"/>
      <c r="B17" s="147" t="s">
        <v>253</v>
      </c>
      <c r="C17" s="272">
        <v>2</v>
      </c>
      <c r="D17" s="265">
        <v>1</v>
      </c>
      <c r="E17" s="20"/>
      <c r="F17" s="20"/>
      <c r="G17" s="20"/>
    </row>
    <row r="18" spans="1:7" x14ac:dyDescent="0.3">
      <c r="A18" s="156">
        <v>2</v>
      </c>
      <c r="B18" s="24" t="s">
        <v>34</v>
      </c>
      <c r="C18" s="273" t="s">
        <v>200</v>
      </c>
      <c r="D18" s="274"/>
      <c r="E18" s="20"/>
      <c r="F18" s="20"/>
      <c r="G18" s="20"/>
    </row>
    <row r="19" spans="1:7" x14ac:dyDescent="0.3">
      <c r="A19" s="259" t="s">
        <v>35</v>
      </c>
      <c r="B19" s="259"/>
      <c r="C19" s="259"/>
      <c r="D19" s="259"/>
      <c r="E19" s="20"/>
      <c r="F19" s="20"/>
      <c r="G19" s="20"/>
    </row>
    <row r="20" spans="1:7" x14ac:dyDescent="0.3">
      <c r="A20" s="156">
        <v>3</v>
      </c>
      <c r="B20" s="275" t="s">
        <v>6</v>
      </c>
      <c r="C20" s="276"/>
      <c r="D20" s="173">
        <v>1664.83</v>
      </c>
      <c r="E20" s="20"/>
      <c r="F20" s="20"/>
      <c r="G20" s="20"/>
    </row>
    <row r="21" spans="1:7" x14ac:dyDescent="0.3">
      <c r="A21" s="156">
        <v>4</v>
      </c>
      <c r="B21" s="275" t="s">
        <v>36</v>
      </c>
      <c r="C21" s="276"/>
      <c r="D21" s="174" t="s">
        <v>201</v>
      </c>
      <c r="E21" s="20"/>
      <c r="F21" s="20"/>
      <c r="G21" s="20"/>
    </row>
    <row r="22" spans="1:7" x14ac:dyDescent="0.3">
      <c r="A22" s="156">
        <v>5</v>
      </c>
      <c r="B22" s="275" t="s">
        <v>5</v>
      </c>
      <c r="C22" s="276"/>
      <c r="D22" s="175">
        <v>44228</v>
      </c>
      <c r="E22" s="20"/>
      <c r="F22" s="20"/>
      <c r="G22" s="20"/>
    </row>
    <row r="23" spans="1:7" x14ac:dyDescent="0.3">
      <c r="A23" s="255"/>
      <c r="B23" s="277"/>
      <c r="C23" s="277"/>
      <c r="D23" s="256"/>
      <c r="E23" s="20"/>
      <c r="F23" s="20"/>
      <c r="G23" s="20"/>
    </row>
    <row r="24" spans="1:7" x14ac:dyDescent="0.3">
      <c r="A24" s="278" t="s">
        <v>37</v>
      </c>
      <c r="B24" s="278"/>
      <c r="C24" s="278"/>
      <c r="D24" s="278"/>
      <c r="E24" s="20"/>
      <c r="F24" s="20"/>
      <c r="G24" s="20"/>
    </row>
    <row r="25" spans="1:7" hidden="1" outlineLevel="1" x14ac:dyDescent="0.3">
      <c r="A25" s="272"/>
      <c r="B25" s="279"/>
      <c r="C25" s="279"/>
      <c r="D25" s="265"/>
      <c r="E25" s="20"/>
      <c r="F25" s="20"/>
      <c r="G25" s="20"/>
    </row>
    <row r="26" spans="1:7" hidden="1" outlineLevel="1" x14ac:dyDescent="0.3">
      <c r="A26" s="157">
        <v>1</v>
      </c>
      <c r="B26" s="280" t="s">
        <v>38</v>
      </c>
      <c r="C26" s="281"/>
      <c r="D26" s="157" t="s">
        <v>39</v>
      </c>
      <c r="E26" s="20"/>
      <c r="F26" s="20"/>
      <c r="G26" s="20"/>
    </row>
    <row r="27" spans="1:7" hidden="1" outlineLevel="1" x14ac:dyDescent="0.3">
      <c r="A27" s="156" t="s">
        <v>40</v>
      </c>
      <c r="B27" s="158" t="s">
        <v>245</v>
      </c>
      <c r="C27" s="167">
        <v>220</v>
      </c>
      <c r="D27" s="25">
        <f>D20/220*C27</f>
        <v>1664.83</v>
      </c>
      <c r="E27" s="20"/>
      <c r="F27" s="20"/>
      <c r="G27" s="20"/>
    </row>
    <row r="28" spans="1:7" hidden="1" outlineLevel="1" x14ac:dyDescent="0.3">
      <c r="A28" s="156" t="s">
        <v>19</v>
      </c>
      <c r="B28" s="158" t="s">
        <v>223</v>
      </c>
      <c r="C28" s="26">
        <v>0.3</v>
      </c>
      <c r="D28" s="25">
        <f>C28*D27</f>
        <v>499.44899999999996</v>
      </c>
      <c r="E28" s="20"/>
      <c r="F28" s="20"/>
      <c r="G28" s="20"/>
    </row>
    <row r="29" spans="1:7" hidden="1" outlineLevel="1" x14ac:dyDescent="0.3">
      <c r="A29" s="156" t="s">
        <v>20</v>
      </c>
      <c r="B29" s="158" t="s">
        <v>41</v>
      </c>
      <c r="C29" s="26">
        <v>0</v>
      </c>
      <c r="D29" s="25">
        <f>C29*D27</f>
        <v>0</v>
      </c>
      <c r="E29" s="20"/>
      <c r="F29" s="20"/>
      <c r="G29" s="20"/>
    </row>
    <row r="30" spans="1:7" hidden="1" outlineLevel="1" x14ac:dyDescent="0.3">
      <c r="A30" s="156" t="s">
        <v>22</v>
      </c>
      <c r="B30" s="158" t="s">
        <v>225</v>
      </c>
      <c r="C30" s="27">
        <v>15</v>
      </c>
      <c r="D30" s="28">
        <f>(D20/C27*C30)*1.5</f>
        <v>170.26670454545453</v>
      </c>
      <c r="E30" s="20"/>
      <c r="F30" s="20"/>
      <c r="G30" s="20"/>
    </row>
    <row r="31" spans="1:7" hidden="1" outlineLevel="1" x14ac:dyDescent="0.3">
      <c r="A31" s="156" t="s">
        <v>25</v>
      </c>
      <c r="B31" s="158" t="s">
        <v>247</v>
      </c>
      <c r="C31" s="185">
        <f>((D20/220*20%))</f>
        <v>1.5134818181818182</v>
      </c>
      <c r="D31" s="28">
        <f>C31*7*C30</f>
        <v>158.91559090909089</v>
      </c>
      <c r="E31" s="186"/>
      <c r="F31" s="20"/>
      <c r="G31" s="20"/>
    </row>
    <row r="32" spans="1:7" hidden="1" outlineLevel="1" x14ac:dyDescent="0.3">
      <c r="A32" s="156" t="s">
        <v>27</v>
      </c>
      <c r="B32" s="158" t="s">
        <v>246</v>
      </c>
      <c r="C32" s="185">
        <f>(D20/220*(7.5/60))</f>
        <v>0.94592613636363632</v>
      </c>
      <c r="D32" s="28">
        <f>C32*7*C30</f>
        <v>99.322244318181816</v>
      </c>
      <c r="E32" s="187"/>
      <c r="F32" s="20"/>
      <c r="G32" s="20"/>
    </row>
    <row r="33" spans="1:7" hidden="1" outlineLevel="1" x14ac:dyDescent="0.3">
      <c r="A33" s="156" t="s">
        <v>29</v>
      </c>
      <c r="B33" s="85" t="s">
        <v>42</v>
      </c>
      <c r="C33" s="86">
        <v>0</v>
      </c>
      <c r="D33" s="87">
        <v>0</v>
      </c>
      <c r="E33" s="20"/>
      <c r="F33" s="20"/>
      <c r="G33" s="20"/>
    </row>
    <row r="34" spans="1:7" collapsed="1" x14ac:dyDescent="0.3">
      <c r="A34" s="280" t="s">
        <v>43</v>
      </c>
      <c r="B34" s="282"/>
      <c r="C34" s="281"/>
      <c r="D34" s="29">
        <f>SUM(D27:D33)</f>
        <v>2592.7835397727272</v>
      </c>
      <c r="E34" s="20"/>
      <c r="F34" s="20"/>
      <c r="G34" s="20"/>
    </row>
    <row r="35" spans="1:7" x14ac:dyDescent="0.3">
      <c r="A35" s="271"/>
      <c r="B35" s="271"/>
      <c r="C35" s="271"/>
      <c r="D35" s="271"/>
      <c r="E35" s="20"/>
      <c r="F35" s="20"/>
      <c r="G35" s="20"/>
    </row>
    <row r="36" spans="1:7" x14ac:dyDescent="0.3">
      <c r="A36" s="286" t="s">
        <v>44</v>
      </c>
      <c r="B36" s="287"/>
      <c r="C36" s="287"/>
      <c r="D36" s="288"/>
      <c r="E36" s="20"/>
      <c r="F36" s="20"/>
      <c r="G36" s="20"/>
    </row>
    <row r="37" spans="1:7" hidden="1" outlineLevel="1" x14ac:dyDescent="0.3">
      <c r="A37" s="289"/>
      <c r="B37" s="290"/>
      <c r="C37" s="290"/>
      <c r="D37" s="291"/>
      <c r="E37" s="20"/>
      <c r="F37" s="20"/>
      <c r="G37" s="20"/>
    </row>
    <row r="38" spans="1:7" hidden="1" outlineLevel="1" x14ac:dyDescent="0.3">
      <c r="A38" s="30" t="s">
        <v>45</v>
      </c>
      <c r="B38" s="31" t="s">
        <v>46</v>
      </c>
      <c r="C38" s="30" t="s">
        <v>47</v>
      </c>
      <c r="D38" s="30" t="s">
        <v>39</v>
      </c>
      <c r="E38" s="20"/>
      <c r="F38" s="20"/>
      <c r="G38" s="20"/>
    </row>
    <row r="39" spans="1:7" hidden="1" outlineLevel="2" x14ac:dyDescent="0.3">
      <c r="A39" s="32" t="s">
        <v>40</v>
      </c>
      <c r="B39" s="33" t="s">
        <v>48</v>
      </c>
      <c r="C39" s="34">
        <f>1/12</f>
        <v>8.3333333333333329E-2</v>
      </c>
      <c r="D39" s="25">
        <f>C39*D34</f>
        <v>216.06529498106059</v>
      </c>
      <c r="E39" s="20"/>
      <c r="F39" s="20"/>
      <c r="G39" s="20"/>
    </row>
    <row r="40" spans="1:7" hidden="1" outlineLevel="2" x14ac:dyDescent="0.3">
      <c r="A40" s="32" t="s">
        <v>19</v>
      </c>
      <c r="B40" s="33" t="s">
        <v>197</v>
      </c>
      <c r="C40" s="34">
        <f>IF(C12&gt;60,(1/C12/3)*5,IF(C12&gt;48,(1/C12/3)*4,IF(C12&gt;36,(1/C12/3)*3,IF(C12&gt;24,(1/C12/3)*2,IF(C12&gt;12,(1/C12/3)*1,0)))))</f>
        <v>1.3888888888888888E-2</v>
      </c>
      <c r="D40" s="25">
        <f>C40*D34</f>
        <v>36.010882496843429</v>
      </c>
      <c r="E40" s="20"/>
      <c r="F40" s="20"/>
      <c r="G40" s="20"/>
    </row>
    <row r="41" spans="1:7" hidden="1" outlineLevel="2" x14ac:dyDescent="0.3">
      <c r="A41" s="35" t="s">
        <v>120</v>
      </c>
      <c r="B41" s="33" t="s">
        <v>121</v>
      </c>
      <c r="C41" s="162">
        <v>0</v>
      </c>
      <c r="D41" s="122">
        <f>-D40*(1/3)*(C41)</f>
        <v>0</v>
      </c>
      <c r="E41" s="20"/>
      <c r="F41" s="20"/>
      <c r="G41" s="20"/>
    </row>
    <row r="42" spans="1:7" hidden="1" outlineLevel="1" collapsed="1" x14ac:dyDescent="0.3">
      <c r="A42" s="292" t="s">
        <v>14</v>
      </c>
      <c r="B42" s="293"/>
      <c r="C42" s="36">
        <f>SUM(C39:C40)</f>
        <v>9.722222222222221E-2</v>
      </c>
      <c r="D42" s="37">
        <f>SUM(D39:D41)</f>
        <v>252.07617747790403</v>
      </c>
      <c r="E42" s="20"/>
      <c r="F42" s="20"/>
      <c r="G42" s="20"/>
    </row>
    <row r="43" spans="1:7" hidden="1" outlineLevel="1" x14ac:dyDescent="0.3">
      <c r="A43" s="289"/>
      <c r="B43" s="290"/>
      <c r="C43" s="290"/>
      <c r="D43" s="291"/>
      <c r="E43" s="20"/>
      <c r="F43" s="20"/>
      <c r="G43" s="20"/>
    </row>
    <row r="44" spans="1:7" hidden="1" outlineLevel="1" x14ac:dyDescent="0.3">
      <c r="A44" s="30" t="s">
        <v>49</v>
      </c>
      <c r="B44" s="38" t="s">
        <v>50</v>
      </c>
      <c r="C44" s="30" t="s">
        <v>47</v>
      </c>
      <c r="D44" s="39" t="s">
        <v>39</v>
      </c>
      <c r="E44" s="20"/>
      <c r="F44" s="20"/>
      <c r="G44" s="20"/>
    </row>
    <row r="45" spans="1:7" hidden="1" outlineLevel="2" x14ac:dyDescent="0.3">
      <c r="A45" s="159" t="s">
        <v>40</v>
      </c>
      <c r="B45" s="40" t="s">
        <v>51</v>
      </c>
      <c r="C45" s="41">
        <v>0.2</v>
      </c>
      <c r="D45" s="25">
        <f>C45*($D$34+$D$42)</f>
        <v>568.97194345012622</v>
      </c>
      <c r="E45" s="20"/>
      <c r="F45" s="20"/>
      <c r="G45" s="20"/>
    </row>
    <row r="46" spans="1:7" hidden="1" outlineLevel="2" x14ac:dyDescent="0.3">
      <c r="A46" s="159" t="s">
        <v>19</v>
      </c>
      <c r="B46" s="40" t="s">
        <v>52</v>
      </c>
      <c r="C46" s="41">
        <v>2.5000000000000001E-2</v>
      </c>
      <c r="D46" s="25">
        <f t="shared" ref="D46:D52" si="0">C46*($D$34+$D$42)</f>
        <v>71.121492931265777</v>
      </c>
      <c r="E46" s="20"/>
      <c r="F46" s="20"/>
      <c r="G46" s="20"/>
    </row>
    <row r="47" spans="1:7" hidden="1" outlineLevel="2" x14ac:dyDescent="0.3">
      <c r="A47" s="159" t="s">
        <v>20</v>
      </c>
      <c r="B47" s="40" t="s">
        <v>114</v>
      </c>
      <c r="C47" s="161">
        <v>0.03</v>
      </c>
      <c r="D47" s="25">
        <f t="shared" si="0"/>
        <v>85.345791517518933</v>
      </c>
      <c r="E47" s="20"/>
      <c r="F47" s="20"/>
      <c r="G47" s="20"/>
    </row>
    <row r="48" spans="1:7" hidden="1" outlineLevel="2" x14ac:dyDescent="0.3">
      <c r="A48" s="159" t="s">
        <v>22</v>
      </c>
      <c r="B48" s="40" t="s">
        <v>232</v>
      </c>
      <c r="C48" s="41">
        <v>1.4999999999999999E-2</v>
      </c>
      <c r="D48" s="25">
        <f t="shared" si="0"/>
        <v>42.672895758759466</v>
      </c>
      <c r="E48" s="20"/>
      <c r="F48" s="20"/>
      <c r="G48" s="20"/>
    </row>
    <row r="49" spans="1:7" hidden="1" outlineLevel="2" x14ac:dyDescent="0.3">
      <c r="A49" s="159" t="s">
        <v>25</v>
      </c>
      <c r="B49" s="40" t="s">
        <v>233</v>
      </c>
      <c r="C49" s="41">
        <v>0.01</v>
      </c>
      <c r="D49" s="25">
        <f>C49*($D$34+$D$42)</f>
        <v>28.448597172506311</v>
      </c>
      <c r="E49" s="20"/>
      <c r="F49" s="20"/>
      <c r="G49" s="20"/>
    </row>
    <row r="50" spans="1:7" hidden="1" outlineLevel="2" x14ac:dyDescent="0.3">
      <c r="A50" s="159" t="s">
        <v>27</v>
      </c>
      <c r="B50" s="40" t="s">
        <v>53</v>
      </c>
      <c r="C50" s="41">
        <v>6.0000000000000001E-3</v>
      </c>
      <c r="D50" s="25">
        <f>C50*($D$34+$D$42)</f>
        <v>17.069158303503787</v>
      </c>
      <c r="E50" s="20"/>
      <c r="F50" s="20"/>
      <c r="G50" s="20"/>
    </row>
    <row r="51" spans="1:7" hidden="1" outlineLevel="2" x14ac:dyDescent="0.3">
      <c r="A51" s="159" t="s">
        <v>29</v>
      </c>
      <c r="B51" s="40" t="s">
        <v>54</v>
      </c>
      <c r="C51" s="41">
        <v>2E-3</v>
      </c>
      <c r="D51" s="25">
        <f t="shared" si="0"/>
        <v>5.6897194345012627</v>
      </c>
      <c r="E51" s="20"/>
      <c r="F51" s="20"/>
      <c r="G51" s="20"/>
    </row>
    <row r="52" spans="1:7" hidden="1" outlineLevel="2" x14ac:dyDescent="0.3">
      <c r="A52" s="159" t="s">
        <v>55</v>
      </c>
      <c r="B52" s="40" t="s">
        <v>56</v>
      </c>
      <c r="C52" s="41">
        <v>0.08</v>
      </c>
      <c r="D52" s="25">
        <f t="shared" si="0"/>
        <v>227.58877738005049</v>
      </c>
      <c r="E52" s="20"/>
      <c r="F52" s="20"/>
      <c r="G52" s="20"/>
    </row>
    <row r="53" spans="1:7" hidden="1" outlineLevel="1" collapsed="1" x14ac:dyDescent="0.3">
      <c r="A53" s="292" t="s">
        <v>14</v>
      </c>
      <c r="B53" s="293"/>
      <c r="C53" s="42">
        <f>SUM(C45:C52)</f>
        <v>0.36800000000000005</v>
      </c>
      <c r="D53" s="43">
        <f>SUM(D45:D52)</f>
        <v>1046.9083759482321</v>
      </c>
      <c r="E53" s="20"/>
      <c r="F53" s="20"/>
      <c r="G53" s="20"/>
    </row>
    <row r="54" spans="1:7" hidden="1" outlineLevel="1" x14ac:dyDescent="0.3">
      <c r="A54" s="289"/>
      <c r="B54" s="290"/>
      <c r="C54" s="290"/>
      <c r="D54" s="291"/>
      <c r="E54" s="20"/>
      <c r="F54" s="20"/>
      <c r="G54" s="20"/>
    </row>
    <row r="55" spans="1:7" hidden="1" outlineLevel="1" x14ac:dyDescent="0.3">
      <c r="A55" s="30" t="s">
        <v>57</v>
      </c>
      <c r="B55" s="38" t="s">
        <v>58</v>
      </c>
      <c r="C55" s="30" t="s">
        <v>59</v>
      </c>
      <c r="D55" s="30" t="s">
        <v>39</v>
      </c>
      <c r="E55" s="20"/>
      <c r="F55" s="20"/>
      <c r="G55" s="20"/>
    </row>
    <row r="56" spans="1:7" hidden="1" outlineLevel="2" x14ac:dyDescent="0.3">
      <c r="A56" s="159" t="s">
        <v>40</v>
      </c>
      <c r="B56" s="40" t="s">
        <v>60</v>
      </c>
      <c r="C56" s="44">
        <v>4.3</v>
      </c>
      <c r="D56" s="45">
        <f>IF((C30*2*C56)-(D27*6%)&lt;0,0,(C30*2*C56)-(D27*6%))</f>
        <v>29.110200000000006</v>
      </c>
      <c r="E56" s="82"/>
      <c r="F56" s="20"/>
      <c r="G56" s="20"/>
    </row>
    <row r="57" spans="1:7" hidden="1" outlineLevel="2" x14ac:dyDescent="0.3">
      <c r="A57" s="159" t="s">
        <v>19</v>
      </c>
      <c r="B57" s="40" t="s">
        <v>61</v>
      </c>
      <c r="C57" s="83">
        <v>27.6</v>
      </c>
      <c r="D57" s="45">
        <f>C57*C30</f>
        <v>414</v>
      </c>
      <c r="E57" s="20"/>
      <c r="F57" s="20"/>
      <c r="G57" s="20"/>
    </row>
    <row r="58" spans="1:7" hidden="1" outlineLevel="2" x14ac:dyDescent="0.3">
      <c r="A58" s="73" t="s">
        <v>97</v>
      </c>
      <c r="B58" s="40" t="s">
        <v>98</v>
      </c>
      <c r="C58" s="84">
        <v>-0.2</v>
      </c>
      <c r="D58" s="122">
        <f>D57*C58</f>
        <v>-82.800000000000011</v>
      </c>
      <c r="E58" s="20"/>
      <c r="F58" s="20"/>
      <c r="G58" s="20"/>
    </row>
    <row r="59" spans="1:7" hidden="1" outlineLevel="2" x14ac:dyDescent="0.3">
      <c r="A59" s="159" t="s">
        <v>20</v>
      </c>
      <c r="B59" s="176" t="s">
        <v>229</v>
      </c>
      <c r="C59" s="169">
        <v>6.0000000000000001E-3</v>
      </c>
      <c r="D59" s="177">
        <f>C59*D27</f>
        <v>9.9889799999999997</v>
      </c>
      <c r="E59" s="20"/>
      <c r="F59" s="20"/>
      <c r="G59" s="20"/>
    </row>
    <row r="60" spans="1:7" hidden="1" outlineLevel="2" x14ac:dyDescent="0.3">
      <c r="A60" s="159" t="s">
        <v>22</v>
      </c>
      <c r="B60" s="178" t="s">
        <v>228</v>
      </c>
      <c r="C60" s="168">
        <v>14</v>
      </c>
      <c r="D60" s="177">
        <f>C60</f>
        <v>14</v>
      </c>
      <c r="E60" s="20"/>
      <c r="F60" s="20"/>
      <c r="G60" s="20"/>
    </row>
    <row r="61" spans="1:7" hidden="1" outlineLevel="2" x14ac:dyDescent="0.3">
      <c r="A61" s="159" t="s">
        <v>25</v>
      </c>
      <c r="B61" s="176" t="s">
        <v>167</v>
      </c>
      <c r="C61" s="169">
        <v>7.0000000000000007E-2</v>
      </c>
      <c r="D61" s="177">
        <f>C61*D34</f>
        <v>181.49484778409092</v>
      </c>
      <c r="E61" s="20"/>
      <c r="F61" s="20"/>
      <c r="G61" s="20"/>
    </row>
    <row r="62" spans="1:7" hidden="1" outlineLevel="2" x14ac:dyDescent="0.3">
      <c r="A62" s="159" t="s">
        <v>27</v>
      </c>
      <c r="B62" s="176" t="s">
        <v>42</v>
      </c>
      <c r="C62" s="84"/>
      <c r="D62" s="177"/>
      <c r="E62" s="20"/>
      <c r="F62" s="20"/>
      <c r="G62" s="20"/>
    </row>
    <row r="63" spans="1:7" hidden="1" outlineLevel="2" x14ac:dyDescent="0.3">
      <c r="A63" s="159" t="s">
        <v>29</v>
      </c>
      <c r="B63" s="176" t="s">
        <v>42</v>
      </c>
      <c r="C63" s="83"/>
      <c r="D63" s="179">
        <f>C63</f>
        <v>0</v>
      </c>
      <c r="E63" s="20"/>
      <c r="F63" s="20"/>
      <c r="G63" s="20"/>
    </row>
    <row r="64" spans="1:7" hidden="1" outlineLevel="1" collapsed="1" x14ac:dyDescent="0.3">
      <c r="A64" s="292" t="s">
        <v>62</v>
      </c>
      <c r="B64" s="294"/>
      <c r="C64" s="293"/>
      <c r="D64" s="37">
        <f>SUM(D56:D63)</f>
        <v>565.79402778409099</v>
      </c>
      <c r="E64" s="20"/>
      <c r="F64" s="20"/>
      <c r="G64" s="20"/>
    </row>
    <row r="65" spans="1:7" hidden="1" outlineLevel="1" x14ac:dyDescent="0.3">
      <c r="A65" s="289"/>
      <c r="B65" s="290"/>
      <c r="C65" s="290"/>
      <c r="D65" s="291"/>
      <c r="E65" s="20"/>
      <c r="F65" s="20"/>
      <c r="G65" s="20"/>
    </row>
    <row r="66" spans="1:7" hidden="1" outlineLevel="1" x14ac:dyDescent="0.3">
      <c r="A66" s="295" t="s">
        <v>63</v>
      </c>
      <c r="B66" s="296"/>
      <c r="C66" s="30" t="s">
        <v>47</v>
      </c>
      <c r="D66" s="30" t="s">
        <v>39</v>
      </c>
      <c r="E66" s="20"/>
      <c r="F66" s="20"/>
      <c r="G66" s="20"/>
    </row>
    <row r="67" spans="1:7" hidden="1" outlineLevel="1" x14ac:dyDescent="0.3">
      <c r="A67" s="159" t="s">
        <v>64</v>
      </c>
      <c r="B67" s="40" t="s">
        <v>46</v>
      </c>
      <c r="C67" s="46">
        <f>C42</f>
        <v>9.722222222222221E-2</v>
      </c>
      <c r="D67" s="25">
        <f>D42</f>
        <v>252.07617747790403</v>
      </c>
      <c r="E67" s="20"/>
      <c r="F67" s="20"/>
      <c r="G67" s="20"/>
    </row>
    <row r="68" spans="1:7" hidden="1" outlineLevel="1" x14ac:dyDescent="0.3">
      <c r="A68" s="159" t="s">
        <v>49</v>
      </c>
      <c r="B68" s="40" t="s">
        <v>50</v>
      </c>
      <c r="C68" s="46">
        <f>C53</f>
        <v>0.36800000000000005</v>
      </c>
      <c r="D68" s="25">
        <f>D53</f>
        <v>1046.9083759482321</v>
      </c>
      <c r="E68" s="20"/>
      <c r="F68" s="20"/>
      <c r="G68" s="20"/>
    </row>
    <row r="69" spans="1:7" hidden="1" outlineLevel="1" x14ac:dyDescent="0.3">
      <c r="A69" s="159" t="s">
        <v>65</v>
      </c>
      <c r="B69" s="40" t="s">
        <v>58</v>
      </c>
      <c r="C69" s="46">
        <f>D64/D34</f>
        <v>0.21821876724567843</v>
      </c>
      <c r="D69" s="25">
        <f>D64</f>
        <v>565.79402778409099</v>
      </c>
      <c r="E69" s="20"/>
      <c r="F69" s="20"/>
      <c r="G69" s="20"/>
    </row>
    <row r="70" spans="1:7" collapsed="1" x14ac:dyDescent="0.3">
      <c r="A70" s="292" t="s">
        <v>14</v>
      </c>
      <c r="B70" s="294"/>
      <c r="C70" s="293"/>
      <c r="D70" s="37">
        <f>SUM(D67:D69)</f>
        <v>1864.7785812102272</v>
      </c>
      <c r="E70" s="20"/>
      <c r="F70" s="20"/>
      <c r="G70" s="20"/>
    </row>
    <row r="71" spans="1:7" x14ac:dyDescent="0.3">
      <c r="A71" s="289"/>
      <c r="B71" s="290"/>
      <c r="C71" s="290"/>
      <c r="D71" s="291"/>
      <c r="E71" s="20"/>
      <c r="F71" s="20"/>
      <c r="G71" s="20"/>
    </row>
    <row r="72" spans="1:7" x14ac:dyDescent="0.3">
      <c r="A72" s="283" t="s">
        <v>126</v>
      </c>
      <c r="B72" s="284"/>
      <c r="C72" s="284"/>
      <c r="D72" s="285"/>
      <c r="E72" s="20"/>
      <c r="F72" s="20"/>
      <c r="G72" s="20"/>
    </row>
    <row r="73" spans="1:7" hidden="1" outlineLevel="1" x14ac:dyDescent="0.3">
      <c r="A73" s="289"/>
      <c r="B73" s="290"/>
      <c r="C73" s="290"/>
      <c r="D73" s="291"/>
      <c r="E73" s="20"/>
      <c r="F73" s="20"/>
      <c r="G73" s="20"/>
    </row>
    <row r="74" spans="1:7" hidden="1" outlineLevel="1" x14ac:dyDescent="0.3">
      <c r="A74" s="157" t="s">
        <v>129</v>
      </c>
      <c r="B74" s="31" t="s">
        <v>130</v>
      </c>
      <c r="C74" s="30" t="s">
        <v>47</v>
      </c>
      <c r="D74" s="30" t="s">
        <v>39</v>
      </c>
      <c r="E74" s="20"/>
      <c r="F74" s="20"/>
      <c r="G74" s="20"/>
    </row>
    <row r="75" spans="1:7" hidden="1" outlineLevel="2" x14ac:dyDescent="0.3">
      <c r="A75" s="47" t="s">
        <v>40</v>
      </c>
      <c r="B75" s="48" t="s">
        <v>131</v>
      </c>
      <c r="C75" s="47" t="s">
        <v>132</v>
      </c>
      <c r="D75" s="49">
        <f>IF(C86&gt;1,SUM(D76:D79)*2,SUM(D76:D79))</f>
        <v>3653.8081816597228</v>
      </c>
      <c r="E75" s="20"/>
      <c r="F75" s="20"/>
      <c r="G75" s="20"/>
    </row>
    <row r="76" spans="1:7" hidden="1" outlineLevel="2" x14ac:dyDescent="0.3">
      <c r="A76" s="50" t="s">
        <v>128</v>
      </c>
      <c r="B76" s="51" t="s">
        <v>133</v>
      </c>
      <c r="C76" s="47">
        <f>(IF(C12&gt;60,45,IF(C12&gt;48,42,IF(C12&gt;36,39,IF(C12&gt;24,36,IF(C12&gt;12,33,30)))))/30)</f>
        <v>1.1000000000000001</v>
      </c>
      <c r="D76" s="49">
        <f>D34*C76</f>
        <v>2852.0618937500003</v>
      </c>
      <c r="E76" s="20"/>
      <c r="F76" s="20"/>
      <c r="G76" s="20"/>
    </row>
    <row r="77" spans="1:7" hidden="1" outlineLevel="2" x14ac:dyDescent="0.3">
      <c r="A77" s="50" t="s">
        <v>142</v>
      </c>
      <c r="B77" s="51" t="s">
        <v>134</v>
      </c>
      <c r="C77" s="34">
        <f>1/12</f>
        <v>8.3333333333333329E-2</v>
      </c>
      <c r="D77" s="49">
        <f>C77*D76</f>
        <v>237.67182447916667</v>
      </c>
      <c r="E77" s="20"/>
      <c r="F77" s="20"/>
      <c r="G77" s="20"/>
    </row>
    <row r="78" spans="1:7" hidden="1" outlineLevel="2" x14ac:dyDescent="0.3">
      <c r="A78" s="50" t="s">
        <v>143</v>
      </c>
      <c r="B78" s="51" t="s">
        <v>135</v>
      </c>
      <c r="C78" s="34">
        <f>(1/12)+(1/12/3)</f>
        <v>0.1111111111111111</v>
      </c>
      <c r="D78" s="52">
        <f>C78*D76</f>
        <v>316.89576597222225</v>
      </c>
      <c r="E78" s="20"/>
      <c r="F78" s="20"/>
      <c r="G78" s="20"/>
    </row>
    <row r="79" spans="1:7" hidden="1" outlineLevel="2" x14ac:dyDescent="0.3">
      <c r="A79" s="50" t="s">
        <v>144</v>
      </c>
      <c r="B79" s="51" t="s">
        <v>136</v>
      </c>
      <c r="C79" s="53">
        <v>0.08</v>
      </c>
      <c r="D79" s="49">
        <f>SUM(D76:D77)*C79</f>
        <v>247.17869745833337</v>
      </c>
      <c r="E79" s="20"/>
      <c r="F79" s="20"/>
      <c r="G79" s="20"/>
    </row>
    <row r="80" spans="1:7" hidden="1" outlineLevel="2" x14ac:dyDescent="0.3">
      <c r="A80" s="47" t="s">
        <v>19</v>
      </c>
      <c r="B80" s="48" t="s">
        <v>137</v>
      </c>
      <c r="C80" s="54">
        <v>0.4</v>
      </c>
      <c r="D80" s="49">
        <f>C80*D81</f>
        <v>2184.8522628484843</v>
      </c>
      <c r="E80" s="20"/>
      <c r="F80" s="20"/>
      <c r="G80" s="20"/>
    </row>
    <row r="81" spans="1:7" hidden="1" outlineLevel="2" x14ac:dyDescent="0.3">
      <c r="A81" s="47" t="s">
        <v>120</v>
      </c>
      <c r="B81" s="48" t="s">
        <v>138</v>
      </c>
      <c r="C81" s="54">
        <f>C52</f>
        <v>0.08</v>
      </c>
      <c r="D81" s="49">
        <f>C81*D82</f>
        <v>5462.1306571212108</v>
      </c>
      <c r="E81" s="20"/>
      <c r="F81" s="20"/>
      <c r="G81" s="20"/>
    </row>
    <row r="82" spans="1:7" hidden="1" outlineLevel="2" x14ac:dyDescent="0.3">
      <c r="A82" s="47" t="s">
        <v>145</v>
      </c>
      <c r="B82" s="55" t="s">
        <v>102</v>
      </c>
      <c r="C82" s="56" t="s">
        <v>132</v>
      </c>
      <c r="D82" s="52">
        <f>SUM(D83:D85)</f>
        <v>68276.633214015135</v>
      </c>
      <c r="E82" s="20"/>
      <c r="F82" s="20"/>
      <c r="G82" s="20"/>
    </row>
    <row r="83" spans="1:7" hidden="1" outlineLevel="2" x14ac:dyDescent="0.3">
      <c r="A83" s="50" t="s">
        <v>146</v>
      </c>
      <c r="B83" s="51" t="s">
        <v>139</v>
      </c>
      <c r="C83" s="57">
        <f>C12-C85</f>
        <v>23</v>
      </c>
      <c r="D83" s="49">
        <f>D34*C83</f>
        <v>59634.021414772724</v>
      </c>
      <c r="E83" s="20"/>
      <c r="F83" s="20"/>
      <c r="G83" s="20"/>
    </row>
    <row r="84" spans="1:7" hidden="1" outlineLevel="2" x14ac:dyDescent="0.3">
      <c r="A84" s="50" t="s">
        <v>147</v>
      </c>
      <c r="B84" s="51" t="s">
        <v>140</v>
      </c>
      <c r="C84" s="58">
        <f>C12/12</f>
        <v>2</v>
      </c>
      <c r="D84" s="49">
        <f>D34*C84</f>
        <v>5185.5670795454544</v>
      </c>
      <c r="E84" s="20"/>
      <c r="F84" s="20"/>
      <c r="G84" s="20"/>
    </row>
    <row r="85" spans="1:7" hidden="1" outlineLevel="2" x14ac:dyDescent="0.3">
      <c r="A85" s="50" t="s">
        <v>148</v>
      </c>
      <c r="B85" s="51" t="s">
        <v>141</v>
      </c>
      <c r="C85" s="56">
        <f>IF(C12&gt;60,5,IF(C12&gt;48,4,IF(C12&gt;36,3,IF(C12&gt;24,2,IF(C12&gt;12,1,0)))))</f>
        <v>1</v>
      </c>
      <c r="D85" s="52">
        <f>D34*C85*1.33333333333333</f>
        <v>3457.0447196969608</v>
      </c>
      <c r="E85" s="20"/>
      <c r="F85" s="20"/>
      <c r="G85" s="20"/>
    </row>
    <row r="86" spans="1:7" hidden="1" outlineLevel="1" collapsed="1" x14ac:dyDescent="0.3">
      <c r="A86" s="292" t="s">
        <v>14</v>
      </c>
      <c r="B86" s="293"/>
      <c r="C86" s="163">
        <v>0.1</v>
      </c>
      <c r="D86" s="37">
        <f>IF(C86&gt;1,D75+D80,(D75+D80)*C86)</f>
        <v>583.86604445082071</v>
      </c>
      <c r="E86" s="20"/>
      <c r="F86" s="20"/>
      <c r="G86" s="20"/>
    </row>
    <row r="87" spans="1:7" hidden="1" outlineLevel="1" x14ac:dyDescent="0.3">
      <c r="A87" s="297"/>
      <c r="B87" s="298"/>
      <c r="C87" s="298"/>
      <c r="D87" s="299"/>
      <c r="E87" s="20"/>
      <c r="F87" s="20"/>
      <c r="G87" s="20"/>
    </row>
    <row r="88" spans="1:7" hidden="1" outlineLevel="1" x14ac:dyDescent="0.3">
      <c r="A88" s="157" t="s">
        <v>155</v>
      </c>
      <c r="B88" s="31" t="s">
        <v>154</v>
      </c>
      <c r="C88" s="30" t="s">
        <v>47</v>
      </c>
      <c r="D88" s="30" t="s">
        <v>39</v>
      </c>
      <c r="E88" s="20"/>
      <c r="F88" s="20"/>
      <c r="G88" s="20"/>
    </row>
    <row r="89" spans="1:7" hidden="1" outlineLevel="2" x14ac:dyDescent="0.3">
      <c r="A89" s="47" t="s">
        <v>40</v>
      </c>
      <c r="B89" s="55" t="s">
        <v>149</v>
      </c>
      <c r="C89" s="59">
        <f>IF(C98&gt;1,(1/30*7)*2,(1/30*7))</f>
        <v>0.23333333333333334</v>
      </c>
      <c r="D89" s="52">
        <f>C89*SUM(D90:D94)</f>
        <v>1095.8234685304712</v>
      </c>
      <c r="E89" s="20"/>
      <c r="F89" s="20"/>
      <c r="G89" s="20"/>
    </row>
    <row r="90" spans="1:7" hidden="1" outlineLevel="2" x14ac:dyDescent="0.3">
      <c r="A90" s="50" t="s">
        <v>128</v>
      </c>
      <c r="B90" s="51" t="s">
        <v>150</v>
      </c>
      <c r="C90" s="47">
        <v>1</v>
      </c>
      <c r="D90" s="49">
        <f>D34</f>
        <v>2592.7835397727272</v>
      </c>
      <c r="E90" s="20"/>
      <c r="F90" s="20"/>
      <c r="G90" s="20"/>
    </row>
    <row r="91" spans="1:7" hidden="1" outlineLevel="2" x14ac:dyDescent="0.3">
      <c r="A91" s="50" t="s">
        <v>142</v>
      </c>
      <c r="B91" s="51" t="s">
        <v>151</v>
      </c>
      <c r="C91" s="34">
        <f>1/12</f>
        <v>8.3333333333333329E-2</v>
      </c>
      <c r="D91" s="49">
        <f>C91*D90</f>
        <v>216.06529498106059</v>
      </c>
      <c r="E91" s="20"/>
      <c r="F91" s="20"/>
      <c r="G91" s="20"/>
    </row>
    <row r="92" spans="1:7" hidden="1" outlineLevel="2" x14ac:dyDescent="0.3">
      <c r="A92" s="50" t="s">
        <v>143</v>
      </c>
      <c r="B92" s="51" t="s">
        <v>152</v>
      </c>
      <c r="C92" s="34">
        <f>(1/12)+(1/12/3)</f>
        <v>0.1111111111111111</v>
      </c>
      <c r="D92" s="49">
        <f>C92*D90</f>
        <v>288.08705997474743</v>
      </c>
      <c r="E92" s="20"/>
      <c r="F92" s="20"/>
      <c r="G92" s="20"/>
    </row>
    <row r="93" spans="1:7" hidden="1" outlineLevel="2" x14ac:dyDescent="0.3">
      <c r="A93" s="50" t="s">
        <v>144</v>
      </c>
      <c r="B93" s="60" t="s">
        <v>66</v>
      </c>
      <c r="C93" s="61">
        <f>C53</f>
        <v>0.36800000000000005</v>
      </c>
      <c r="D93" s="52">
        <f>C93*(D90+D91)</f>
        <v>1033.6563711893941</v>
      </c>
      <c r="E93" s="20"/>
      <c r="F93" s="20"/>
      <c r="G93" s="20"/>
    </row>
    <row r="94" spans="1:7" hidden="1" outlineLevel="2" x14ac:dyDescent="0.3">
      <c r="A94" s="50" t="s">
        <v>156</v>
      </c>
      <c r="B94" s="60" t="s">
        <v>153</v>
      </c>
      <c r="C94" s="62">
        <v>1</v>
      </c>
      <c r="D94" s="52">
        <f>D64</f>
        <v>565.79402778409099</v>
      </c>
      <c r="E94" s="20"/>
      <c r="F94" s="20"/>
      <c r="G94" s="20"/>
    </row>
    <row r="95" spans="1:7" hidden="1" outlineLevel="2" x14ac:dyDescent="0.3">
      <c r="A95" s="47" t="s">
        <v>19</v>
      </c>
      <c r="B95" s="48" t="s">
        <v>220</v>
      </c>
      <c r="C95" s="54">
        <v>0.4</v>
      </c>
      <c r="D95" s="49">
        <f>C95*D96</f>
        <v>2184.8522628484843</v>
      </c>
      <c r="E95" s="63"/>
      <c r="F95" s="20"/>
      <c r="G95" s="20"/>
    </row>
    <row r="96" spans="1:7" hidden="1" outlineLevel="2" x14ac:dyDescent="0.3">
      <c r="A96" s="47" t="s">
        <v>120</v>
      </c>
      <c r="B96" s="48" t="s">
        <v>138</v>
      </c>
      <c r="C96" s="54">
        <f>C52</f>
        <v>0.08</v>
      </c>
      <c r="D96" s="49">
        <f>C96*D97</f>
        <v>5462.1306571212108</v>
      </c>
      <c r="E96" s="20"/>
      <c r="F96" s="20"/>
      <c r="G96" s="20"/>
    </row>
    <row r="97" spans="1:7" hidden="1" outlineLevel="2" x14ac:dyDescent="0.3">
      <c r="A97" s="47" t="s">
        <v>145</v>
      </c>
      <c r="B97" s="55" t="s">
        <v>102</v>
      </c>
      <c r="C97" s="56" t="s">
        <v>132</v>
      </c>
      <c r="D97" s="52">
        <f>D82</f>
        <v>68276.633214015135</v>
      </c>
      <c r="E97" s="20"/>
      <c r="F97" s="20"/>
      <c r="G97" s="20"/>
    </row>
    <row r="98" spans="1:7" hidden="1" outlineLevel="1" collapsed="1" x14ac:dyDescent="0.3">
      <c r="A98" s="292" t="s">
        <v>14</v>
      </c>
      <c r="B98" s="293"/>
      <c r="C98" s="163">
        <v>0.9</v>
      </c>
      <c r="D98" s="37">
        <f>IF(C98&gt;1,D89+D95,(D89+D95)*C98)</f>
        <v>2952.6081582410602</v>
      </c>
      <c r="E98" s="20"/>
      <c r="F98" s="20"/>
      <c r="G98" s="20"/>
    </row>
    <row r="99" spans="1:7" hidden="1" outlineLevel="1" x14ac:dyDescent="0.3">
      <c r="A99" s="297"/>
      <c r="B99" s="298"/>
      <c r="C99" s="298"/>
      <c r="D99" s="299"/>
      <c r="E99" s="20"/>
      <c r="F99" s="20"/>
      <c r="G99" s="20"/>
    </row>
    <row r="100" spans="1:7" hidden="1" outlineLevel="1" x14ac:dyDescent="0.3">
      <c r="A100" s="157" t="s">
        <v>160</v>
      </c>
      <c r="B100" s="31" t="s">
        <v>165</v>
      </c>
      <c r="C100" s="30" t="s">
        <v>47</v>
      </c>
      <c r="D100" s="30" t="s">
        <v>39</v>
      </c>
      <c r="E100" s="20"/>
      <c r="F100" s="20"/>
      <c r="G100" s="20"/>
    </row>
    <row r="101" spans="1:7" hidden="1" outlineLevel="2" x14ac:dyDescent="0.3">
      <c r="A101" s="159" t="s">
        <v>40</v>
      </c>
      <c r="B101" s="40" t="s">
        <v>162</v>
      </c>
      <c r="C101" s="46">
        <f>IF(C12&gt;60,(D34/12*(C12-60))/C12/D34,IF(C12&gt;48,(D34/12*(C12-48))/C12/D34,IF(C12&gt;36,(D34/12*(C12-36))/C12/D34,IF(C12&gt;24,(D34/12*(C12-24))/C12/D34,IF(C12&gt;12,((D34/12*(C12-12))/C12/D34),1/12)))))</f>
        <v>4.1666666666666664E-2</v>
      </c>
      <c r="D101" s="64">
        <f>C101*D34</f>
        <v>108.03264749053029</v>
      </c>
      <c r="E101" s="20"/>
      <c r="F101" s="20"/>
      <c r="G101" s="20"/>
    </row>
    <row r="102" spans="1:7" hidden="1" outlineLevel="2" x14ac:dyDescent="0.3">
      <c r="A102" s="159" t="s">
        <v>19</v>
      </c>
      <c r="B102" s="65" t="s">
        <v>163</v>
      </c>
      <c r="C102" s="46">
        <f>C101/3</f>
        <v>1.3888888888888888E-2</v>
      </c>
      <c r="D102" s="66">
        <f>C102*D34</f>
        <v>36.010882496843429</v>
      </c>
      <c r="E102" s="20"/>
      <c r="F102" s="20"/>
      <c r="G102" s="20"/>
    </row>
    <row r="103" spans="1:7" hidden="1" outlineLevel="2" x14ac:dyDescent="0.3">
      <c r="A103" s="159" t="s">
        <v>20</v>
      </c>
      <c r="B103" s="67" t="s">
        <v>166</v>
      </c>
      <c r="C103" s="71">
        <f>C41</f>
        <v>0</v>
      </c>
      <c r="D103" s="25">
        <f>-D41*4</f>
        <v>0</v>
      </c>
      <c r="E103" s="20"/>
      <c r="F103" s="20"/>
      <c r="G103" s="20"/>
    </row>
    <row r="104" spans="1:7" ht="15.75" hidden="1" customHeight="1" outlineLevel="1" collapsed="1" x14ac:dyDescent="0.3">
      <c r="A104" s="292" t="s">
        <v>14</v>
      </c>
      <c r="B104" s="293"/>
      <c r="C104" s="36">
        <f>C101+C102+(D103/D34)</f>
        <v>5.5555555555555552E-2</v>
      </c>
      <c r="D104" s="37">
        <f>SUM(D101:D103)</f>
        <v>144.04352998737372</v>
      </c>
      <c r="E104" s="20"/>
      <c r="F104" s="20"/>
      <c r="G104" s="20"/>
    </row>
    <row r="105" spans="1:7" hidden="1" outlineLevel="1" x14ac:dyDescent="0.3">
      <c r="A105" s="297"/>
      <c r="B105" s="298"/>
      <c r="C105" s="298"/>
      <c r="D105" s="299"/>
      <c r="E105" s="63"/>
      <c r="F105" s="20"/>
      <c r="G105" s="20"/>
    </row>
    <row r="106" spans="1:7" hidden="1" outlineLevel="1" x14ac:dyDescent="0.3">
      <c r="A106" s="295" t="s">
        <v>161</v>
      </c>
      <c r="B106" s="296"/>
      <c r="C106" s="30" t="s">
        <v>47</v>
      </c>
      <c r="D106" s="30" t="s">
        <v>39</v>
      </c>
      <c r="E106" s="63"/>
      <c r="F106" s="20"/>
      <c r="G106" s="20"/>
    </row>
    <row r="107" spans="1:7" hidden="1" outlineLevel="1" x14ac:dyDescent="0.3">
      <c r="A107" s="159" t="s">
        <v>129</v>
      </c>
      <c r="B107" s="40" t="s">
        <v>130</v>
      </c>
      <c r="C107" s="46">
        <f>C86</f>
        <v>0.1</v>
      </c>
      <c r="D107" s="25">
        <f>D86</f>
        <v>583.86604445082071</v>
      </c>
      <c r="E107" s="63"/>
      <c r="F107" s="20"/>
      <c r="G107" s="20"/>
    </row>
    <row r="108" spans="1:7" hidden="1" outlineLevel="1" x14ac:dyDescent="0.3">
      <c r="A108" s="32" t="s">
        <v>155</v>
      </c>
      <c r="B108" s="40" t="s">
        <v>154</v>
      </c>
      <c r="C108" s="68">
        <f>C98</f>
        <v>0.9</v>
      </c>
      <c r="D108" s="25">
        <f>D98</f>
        <v>2952.6081582410602</v>
      </c>
      <c r="E108" s="63"/>
      <c r="F108" s="20"/>
      <c r="G108" s="20"/>
    </row>
    <row r="109" spans="1:7" hidden="1" outlineLevel="1" x14ac:dyDescent="0.3">
      <c r="A109" s="300" t="s">
        <v>164</v>
      </c>
      <c r="B109" s="300"/>
      <c r="C109" s="300"/>
      <c r="D109" s="69">
        <f>D107+D108</f>
        <v>3536.4742026918811</v>
      </c>
      <c r="E109" s="63"/>
      <c r="F109" s="20"/>
      <c r="G109" s="20"/>
    </row>
    <row r="110" spans="1:7" hidden="1" outlineLevel="1" x14ac:dyDescent="0.3">
      <c r="A110" s="301" t="s">
        <v>195</v>
      </c>
      <c r="B110" s="302"/>
      <c r="C110" s="164">
        <v>0.71030000000000004</v>
      </c>
      <c r="D110" s="123">
        <f>C110*D109</f>
        <v>2511.9576261720435</v>
      </c>
      <c r="E110" s="63"/>
      <c r="F110" s="20"/>
      <c r="G110" s="20"/>
    </row>
    <row r="111" spans="1:7" hidden="1" outlineLevel="1" x14ac:dyDescent="0.3">
      <c r="A111" s="303" t="s">
        <v>194</v>
      </c>
      <c r="B111" s="304"/>
      <c r="C111" s="172">
        <f>1/C12</f>
        <v>4.1666666666666664E-2</v>
      </c>
      <c r="D111" s="132">
        <f>D110*C111</f>
        <v>104.66490109050181</v>
      </c>
      <c r="E111" s="63"/>
      <c r="F111" s="20"/>
      <c r="G111" s="20"/>
    </row>
    <row r="112" spans="1:7" hidden="1" outlineLevel="1" x14ac:dyDescent="0.3">
      <c r="A112" s="32" t="s">
        <v>160</v>
      </c>
      <c r="B112" s="40" t="s">
        <v>159</v>
      </c>
      <c r="C112" s="68"/>
      <c r="D112" s="122">
        <f>D104</f>
        <v>144.04352998737372</v>
      </c>
      <c r="E112" s="63"/>
      <c r="F112" s="20"/>
      <c r="G112" s="20"/>
    </row>
    <row r="113" spans="1:7" collapsed="1" x14ac:dyDescent="0.3">
      <c r="A113" s="292" t="s">
        <v>67</v>
      </c>
      <c r="B113" s="293"/>
      <c r="C113" s="36"/>
      <c r="D113" s="70">
        <f>D111+D112</f>
        <v>248.70843107787553</v>
      </c>
      <c r="E113" s="20"/>
      <c r="F113" s="20"/>
      <c r="G113" s="20"/>
    </row>
    <row r="114" spans="1:7" x14ac:dyDescent="0.3">
      <c r="A114" s="289"/>
      <c r="B114" s="290"/>
      <c r="C114" s="290"/>
      <c r="D114" s="291"/>
      <c r="E114" s="20"/>
      <c r="F114" s="20"/>
      <c r="G114" s="20"/>
    </row>
    <row r="115" spans="1:7" x14ac:dyDescent="0.3">
      <c r="A115" s="286" t="s">
        <v>68</v>
      </c>
      <c r="B115" s="287"/>
      <c r="C115" s="287"/>
      <c r="D115" s="288"/>
      <c r="E115" s="20"/>
      <c r="F115" s="20"/>
      <c r="G115" s="20"/>
    </row>
    <row r="116" spans="1:7" hidden="1" outlineLevel="1" x14ac:dyDescent="0.3">
      <c r="A116" s="297"/>
      <c r="B116" s="298"/>
      <c r="C116" s="298"/>
      <c r="D116" s="299"/>
      <c r="E116" s="20"/>
      <c r="F116" s="20"/>
      <c r="G116" s="20"/>
    </row>
    <row r="117" spans="1:7" hidden="1" outlineLevel="1" x14ac:dyDescent="0.3">
      <c r="A117" s="30" t="s">
        <v>69</v>
      </c>
      <c r="B117" s="38" t="s">
        <v>124</v>
      </c>
      <c r="C117" s="36" t="s">
        <v>47</v>
      </c>
      <c r="D117" s="30" t="s">
        <v>39</v>
      </c>
      <c r="E117" s="20"/>
      <c r="F117" s="20"/>
      <c r="G117" s="20"/>
    </row>
    <row r="118" spans="1:7" hidden="1" outlineLevel="2" x14ac:dyDescent="0.3">
      <c r="A118" s="159" t="s">
        <v>40</v>
      </c>
      <c r="B118" s="40" t="s">
        <v>70</v>
      </c>
      <c r="C118" s="71">
        <f>IF(C12&gt;60,5/C12,IF(C12&gt;48,4/C12,IF(C12&gt;36,3/C12,IF(C12&gt;24,2/C12,IF(C12&gt;12,1/C12,0)))))</f>
        <v>4.1666666666666664E-2</v>
      </c>
      <c r="D118" s="64">
        <f>C118*(D34+D70+D113)</f>
        <v>196.09460633586789</v>
      </c>
      <c r="E118" s="133"/>
      <c r="F118" s="20"/>
      <c r="G118" s="72"/>
    </row>
    <row r="119" spans="1:7" hidden="1" outlineLevel="2" x14ac:dyDescent="0.3">
      <c r="A119" s="73" t="s">
        <v>128</v>
      </c>
      <c r="B119" s="40" t="s">
        <v>127</v>
      </c>
      <c r="C119" s="71">
        <f>C41</f>
        <v>0</v>
      </c>
      <c r="D119" s="122">
        <f>-D118*(1/3)*(C119)</f>
        <v>0</v>
      </c>
      <c r="E119" s="20"/>
      <c r="F119" s="20"/>
      <c r="G119" s="20"/>
    </row>
    <row r="120" spans="1:7" hidden="1" outlineLevel="1" collapsed="1" x14ac:dyDescent="0.3">
      <c r="A120" s="292" t="s">
        <v>158</v>
      </c>
      <c r="B120" s="293"/>
      <c r="C120" s="36">
        <f>C118+(D119/D34)</f>
        <v>4.1666666666666664E-2</v>
      </c>
      <c r="D120" s="37">
        <f>SUM(D118:D119)</f>
        <v>196.09460633586789</v>
      </c>
      <c r="E120" s="20"/>
      <c r="F120" s="20"/>
      <c r="G120" s="20"/>
    </row>
    <row r="121" spans="1:7" hidden="1" outlineLevel="1" x14ac:dyDescent="0.3">
      <c r="A121" s="297"/>
      <c r="B121" s="298"/>
      <c r="C121" s="298"/>
      <c r="D121" s="299"/>
      <c r="E121" s="20"/>
      <c r="F121" s="20"/>
      <c r="G121" s="20"/>
    </row>
    <row r="122" spans="1:7" hidden="1" outlineLevel="1" x14ac:dyDescent="0.3">
      <c r="A122" s="30" t="s">
        <v>123</v>
      </c>
      <c r="B122" s="38" t="s">
        <v>125</v>
      </c>
      <c r="C122" s="36" t="s">
        <v>47</v>
      </c>
      <c r="D122" s="30" t="s">
        <v>39</v>
      </c>
      <c r="E122" s="20"/>
      <c r="F122" s="20"/>
      <c r="G122" s="20"/>
    </row>
    <row r="123" spans="1:7" hidden="1" outlineLevel="2" x14ac:dyDescent="0.3">
      <c r="A123" s="159" t="s">
        <v>40</v>
      </c>
      <c r="B123" s="149" t="s">
        <v>122</v>
      </c>
      <c r="C123" s="165">
        <v>1.35E-2</v>
      </c>
      <c r="D123" s="64">
        <f t="shared" ref="D123:D128" si="1">C123*($D$64+$D$113+$D$34)</f>
        <v>45.998360981568368</v>
      </c>
      <c r="E123" s="20"/>
      <c r="F123" s="20"/>
      <c r="G123" s="72"/>
    </row>
    <row r="124" spans="1:7" hidden="1" outlineLevel="2" x14ac:dyDescent="0.3">
      <c r="A124" s="159" t="s">
        <v>19</v>
      </c>
      <c r="B124" s="40" t="s">
        <v>104</v>
      </c>
      <c r="C124" s="180">
        <v>1.66E-2</v>
      </c>
      <c r="D124" s="64">
        <f t="shared" si="1"/>
        <v>56.560947577335916</v>
      </c>
      <c r="E124" s="20"/>
      <c r="F124" s="20"/>
      <c r="G124" s="72"/>
    </row>
    <row r="125" spans="1:7" hidden="1" outlineLevel="2" x14ac:dyDescent="0.3">
      <c r="A125" s="159" t="s">
        <v>20</v>
      </c>
      <c r="B125" s="40" t="s">
        <v>105</v>
      </c>
      <c r="C125" s="180">
        <v>2.7000000000000001E-3</v>
      </c>
      <c r="D125" s="64">
        <f t="shared" si="1"/>
        <v>9.1996721963136743</v>
      </c>
      <c r="E125" s="20"/>
      <c r="F125" s="20"/>
      <c r="G125" s="72"/>
    </row>
    <row r="126" spans="1:7" hidden="1" outlineLevel="2" x14ac:dyDescent="0.3">
      <c r="A126" s="159" t="s">
        <v>22</v>
      </c>
      <c r="B126" s="40" t="s">
        <v>103</v>
      </c>
      <c r="C126" s="180">
        <v>2.8E-3</v>
      </c>
      <c r="D126" s="64">
        <f t="shared" si="1"/>
        <v>9.540400796177142</v>
      </c>
      <c r="E126" s="20"/>
      <c r="F126" s="20"/>
      <c r="G126" s="20"/>
    </row>
    <row r="127" spans="1:7" hidden="1" outlineLevel="2" x14ac:dyDescent="0.3">
      <c r="A127" s="159" t="s">
        <v>25</v>
      </c>
      <c r="B127" s="40" t="s">
        <v>71</v>
      </c>
      <c r="C127" s="180">
        <v>2.0000000000000001E-4</v>
      </c>
      <c r="D127" s="64">
        <f t="shared" si="1"/>
        <v>0.68145719972693886</v>
      </c>
      <c r="E127" s="20"/>
      <c r="F127" s="20"/>
      <c r="G127" s="20"/>
    </row>
    <row r="128" spans="1:7" hidden="1" outlineLevel="2" x14ac:dyDescent="0.3">
      <c r="A128" s="159" t="s">
        <v>27</v>
      </c>
      <c r="B128" s="40" t="s">
        <v>72</v>
      </c>
      <c r="C128" s="180">
        <v>2.9999999999999997E-4</v>
      </c>
      <c r="D128" s="64">
        <f t="shared" si="1"/>
        <v>1.022185799590408</v>
      </c>
      <c r="E128" s="20"/>
      <c r="F128" s="20"/>
      <c r="G128" s="20"/>
    </row>
    <row r="129" spans="1:7" hidden="1" outlineLevel="1" collapsed="1" x14ac:dyDescent="0.3">
      <c r="A129" s="292" t="s">
        <v>158</v>
      </c>
      <c r="B129" s="293"/>
      <c r="C129" s="36">
        <f>SUM(C123:C128)</f>
        <v>3.61E-2</v>
      </c>
      <c r="D129" s="37">
        <f>SUM(D123:D128)</f>
        <v>123.00302455071244</v>
      </c>
      <c r="E129" s="20"/>
      <c r="F129" s="20"/>
      <c r="G129" s="20"/>
    </row>
    <row r="130" spans="1:7" hidden="1" outlineLevel="1" x14ac:dyDescent="0.3">
      <c r="A130" s="297"/>
      <c r="B130" s="298"/>
      <c r="C130" s="298"/>
      <c r="D130" s="299"/>
      <c r="E130" s="20"/>
      <c r="F130" s="20"/>
      <c r="G130" s="20"/>
    </row>
    <row r="131" spans="1:7" hidden="1" outlineLevel="1" x14ac:dyDescent="0.3">
      <c r="A131" s="295" t="s">
        <v>157</v>
      </c>
      <c r="B131" s="296"/>
      <c r="C131" s="30" t="s">
        <v>47</v>
      </c>
      <c r="D131" s="30" t="s">
        <v>39</v>
      </c>
      <c r="E131" s="20"/>
      <c r="F131" s="20"/>
      <c r="G131" s="20"/>
    </row>
    <row r="132" spans="1:7" hidden="1" outlineLevel="1" x14ac:dyDescent="0.3">
      <c r="A132" s="159" t="s">
        <v>69</v>
      </c>
      <c r="B132" s="40" t="s">
        <v>124</v>
      </c>
      <c r="C132" s="46"/>
      <c r="D132" s="98">
        <f>D120</f>
        <v>196.09460633586789</v>
      </c>
      <c r="E132" s="20"/>
      <c r="F132" s="20"/>
      <c r="G132" s="20"/>
    </row>
    <row r="133" spans="1:7" hidden="1" outlineLevel="1" x14ac:dyDescent="0.3">
      <c r="A133" s="159" t="s">
        <v>123</v>
      </c>
      <c r="B133" s="40" t="s">
        <v>125</v>
      </c>
      <c r="C133" s="46"/>
      <c r="D133" s="98">
        <f>D129</f>
        <v>123.00302455071244</v>
      </c>
      <c r="E133" s="20"/>
      <c r="F133" s="20"/>
      <c r="G133" s="20"/>
    </row>
    <row r="134" spans="1:7" collapsed="1" x14ac:dyDescent="0.3">
      <c r="A134" s="292" t="s">
        <v>14</v>
      </c>
      <c r="B134" s="294"/>
      <c r="C134" s="293"/>
      <c r="D134" s="99">
        <f>SUM(D132:D133)</f>
        <v>319.0976308865803</v>
      </c>
      <c r="E134" s="20"/>
      <c r="F134" s="20"/>
      <c r="G134" s="20"/>
    </row>
    <row r="135" spans="1:7" x14ac:dyDescent="0.3">
      <c r="A135" s="297"/>
      <c r="B135" s="298"/>
      <c r="C135" s="298"/>
      <c r="D135" s="299"/>
      <c r="E135" s="20"/>
      <c r="F135" s="20"/>
      <c r="G135" s="20"/>
    </row>
    <row r="136" spans="1:7" x14ac:dyDescent="0.3">
      <c r="A136" s="286" t="s">
        <v>73</v>
      </c>
      <c r="B136" s="287"/>
      <c r="C136" s="287"/>
      <c r="D136" s="288"/>
      <c r="E136" s="20"/>
      <c r="F136" s="20"/>
      <c r="G136" s="20"/>
    </row>
    <row r="137" spans="1:7" hidden="1" outlineLevel="1" x14ac:dyDescent="0.3">
      <c r="A137" s="297"/>
      <c r="B137" s="298"/>
      <c r="C137" s="298"/>
      <c r="D137" s="299"/>
      <c r="E137" s="20"/>
      <c r="F137" s="20"/>
      <c r="G137" s="20"/>
    </row>
    <row r="138" spans="1:7" hidden="1" outlineLevel="1" x14ac:dyDescent="0.3">
      <c r="A138" s="157">
        <v>5</v>
      </c>
      <c r="B138" s="292" t="s">
        <v>248</v>
      </c>
      <c r="C138" s="293"/>
      <c r="D138" s="30" t="s">
        <v>39</v>
      </c>
      <c r="E138" s="20"/>
      <c r="F138" s="20"/>
      <c r="G138" s="20"/>
    </row>
    <row r="139" spans="1:7" hidden="1" outlineLevel="1" x14ac:dyDescent="0.3">
      <c r="A139" s="159" t="s">
        <v>40</v>
      </c>
      <c r="B139" s="308" t="s">
        <v>249</v>
      </c>
      <c r="C139" s="309"/>
      <c r="D139" s="95">
        <f>INSUMOS!H17</f>
        <v>53.838916666666663</v>
      </c>
      <c r="E139" s="20"/>
      <c r="F139" s="20"/>
      <c r="G139" s="20"/>
    </row>
    <row r="140" spans="1:7" hidden="1" outlineLevel="1" x14ac:dyDescent="0.3">
      <c r="A140" s="159" t="s">
        <v>19</v>
      </c>
      <c r="B140" s="308" t="s">
        <v>269</v>
      </c>
      <c r="C140" s="309"/>
      <c r="D140" s="74">
        <f>INSUMOS!H39</f>
        <v>23.641805555555553</v>
      </c>
      <c r="E140" s="20"/>
      <c r="F140" s="20"/>
      <c r="G140" s="20"/>
    </row>
    <row r="141" spans="1:7" hidden="1" outlineLevel="1" x14ac:dyDescent="0.3">
      <c r="A141" s="159" t="s">
        <v>20</v>
      </c>
      <c r="B141" s="310" t="s">
        <v>268</v>
      </c>
      <c r="C141" s="311"/>
      <c r="D141" s="181">
        <f>INSUMOS!H50</f>
        <v>62.5</v>
      </c>
      <c r="E141" s="20"/>
      <c r="F141" s="20"/>
      <c r="G141" s="20"/>
    </row>
    <row r="142" spans="1:7" hidden="1" outlineLevel="1" x14ac:dyDescent="0.3">
      <c r="A142" s="159" t="s">
        <v>25</v>
      </c>
      <c r="B142" s="312" t="s">
        <v>42</v>
      </c>
      <c r="C142" s="313"/>
      <c r="D142" s="96">
        <v>0</v>
      </c>
      <c r="E142" s="20"/>
      <c r="F142" s="20"/>
      <c r="G142" s="20"/>
    </row>
    <row r="143" spans="1:7" collapsed="1" x14ac:dyDescent="0.3">
      <c r="A143" s="292" t="s">
        <v>74</v>
      </c>
      <c r="B143" s="294"/>
      <c r="C143" s="293"/>
      <c r="D143" s="97">
        <f>SUM(D139:D142)</f>
        <v>139.9807222222222</v>
      </c>
      <c r="E143" s="20"/>
      <c r="F143" s="20"/>
      <c r="G143" s="20"/>
    </row>
    <row r="144" spans="1:7" x14ac:dyDescent="0.3">
      <c r="A144" s="289"/>
      <c r="B144" s="290"/>
      <c r="C144" s="290"/>
      <c r="D144" s="291"/>
      <c r="E144" s="20"/>
      <c r="F144" s="20"/>
      <c r="G144" s="20"/>
    </row>
    <row r="145" spans="1:7" x14ac:dyDescent="0.3">
      <c r="A145" s="314" t="s">
        <v>75</v>
      </c>
      <c r="B145" s="314"/>
      <c r="C145" s="314"/>
      <c r="D145" s="160">
        <f>D34+D70+D113+D134+D143</f>
        <v>5165.3489051696324</v>
      </c>
      <c r="E145" s="20"/>
      <c r="F145" s="20"/>
      <c r="G145" s="20"/>
    </row>
    <row r="146" spans="1:7" x14ac:dyDescent="0.3">
      <c r="A146" s="271"/>
      <c r="B146" s="271"/>
      <c r="C146" s="271"/>
      <c r="D146" s="271"/>
      <c r="E146" s="20"/>
      <c r="F146" s="20"/>
      <c r="G146" s="20"/>
    </row>
    <row r="147" spans="1:7" x14ac:dyDescent="0.3">
      <c r="A147" s="315" t="s">
        <v>76</v>
      </c>
      <c r="B147" s="315"/>
      <c r="C147" s="315"/>
      <c r="D147" s="315"/>
      <c r="E147" s="20"/>
      <c r="F147" s="20"/>
      <c r="G147" s="20"/>
    </row>
    <row r="148" spans="1:7" hidden="1" outlineLevel="1" x14ac:dyDescent="0.3">
      <c r="A148" s="316"/>
      <c r="B148" s="317"/>
      <c r="C148" s="317"/>
      <c r="D148" s="318"/>
      <c r="E148" s="20"/>
      <c r="F148" s="20"/>
      <c r="G148" s="20"/>
    </row>
    <row r="149" spans="1:7" hidden="1" outlineLevel="1" x14ac:dyDescent="0.3">
      <c r="A149" s="157">
        <v>6</v>
      </c>
      <c r="B149" s="38" t="s">
        <v>77</v>
      </c>
      <c r="C149" s="30" t="s">
        <v>47</v>
      </c>
      <c r="D149" s="30" t="s">
        <v>39</v>
      </c>
      <c r="E149" s="20"/>
      <c r="F149" s="20"/>
      <c r="G149" s="20"/>
    </row>
    <row r="150" spans="1:7" hidden="1" outlineLevel="1" x14ac:dyDescent="0.3">
      <c r="A150" s="159" t="s">
        <v>40</v>
      </c>
      <c r="B150" s="40" t="s">
        <v>78</v>
      </c>
      <c r="C150" s="166">
        <v>5.6599999999999998E-2</v>
      </c>
      <c r="D150" s="28">
        <f>C150*D145</f>
        <v>292.35874803260117</v>
      </c>
      <c r="E150" s="20"/>
      <c r="F150" s="20"/>
      <c r="G150" s="20"/>
    </row>
    <row r="151" spans="1:7" hidden="1" outlineLevel="1" x14ac:dyDescent="0.3">
      <c r="A151" s="305" t="s">
        <v>4</v>
      </c>
      <c r="B151" s="306"/>
      <c r="C151" s="307"/>
      <c r="D151" s="28">
        <f>D145+D150</f>
        <v>5457.7076532022338</v>
      </c>
      <c r="E151" s="20"/>
      <c r="F151" s="20"/>
      <c r="G151" s="20"/>
    </row>
    <row r="152" spans="1:7" hidden="1" outlineLevel="1" x14ac:dyDescent="0.3">
      <c r="A152" s="159" t="s">
        <v>19</v>
      </c>
      <c r="B152" s="40" t="s">
        <v>79</v>
      </c>
      <c r="C152" s="166">
        <v>5.62E-2</v>
      </c>
      <c r="D152" s="28">
        <f>C152*D151</f>
        <v>306.72317010996557</v>
      </c>
      <c r="E152" s="20"/>
      <c r="F152" s="20"/>
      <c r="G152" s="20"/>
    </row>
    <row r="153" spans="1:7" hidden="1" outlineLevel="1" x14ac:dyDescent="0.3">
      <c r="A153" s="305" t="s">
        <v>4</v>
      </c>
      <c r="B153" s="306"/>
      <c r="C153" s="306"/>
      <c r="D153" s="28">
        <f>D152+D151</f>
        <v>5764.4308233121992</v>
      </c>
      <c r="E153" s="20"/>
      <c r="F153" s="20"/>
      <c r="G153" s="20"/>
    </row>
    <row r="154" spans="1:7" hidden="1" outlineLevel="1" x14ac:dyDescent="0.3">
      <c r="A154" s="159" t="s">
        <v>20</v>
      </c>
      <c r="B154" s="310" t="s">
        <v>80</v>
      </c>
      <c r="C154" s="319"/>
      <c r="D154" s="311"/>
      <c r="E154" s="20"/>
      <c r="F154" s="20"/>
      <c r="G154" s="20"/>
    </row>
    <row r="155" spans="1:7" hidden="1" outlineLevel="1" x14ac:dyDescent="0.3">
      <c r="A155" s="88"/>
      <c r="B155" s="158" t="s">
        <v>81</v>
      </c>
      <c r="C155" s="166">
        <v>6.4999999999999997E-3</v>
      </c>
      <c r="D155" s="28">
        <f>(D153/(1-C158)*C155)</f>
        <v>41.016749153288771</v>
      </c>
      <c r="E155" s="20"/>
      <c r="F155" s="20"/>
      <c r="G155" s="20"/>
    </row>
    <row r="156" spans="1:7" hidden="1" outlineLevel="1" x14ac:dyDescent="0.3">
      <c r="A156" s="88"/>
      <c r="B156" s="158" t="s">
        <v>82</v>
      </c>
      <c r="C156" s="166">
        <v>0.03</v>
      </c>
      <c r="D156" s="28">
        <f>(D153/(1-C158)*C156)</f>
        <v>189.30807301517893</v>
      </c>
      <c r="E156" s="20"/>
      <c r="F156" s="20"/>
      <c r="G156" s="20"/>
    </row>
    <row r="157" spans="1:7" hidden="1" outlineLevel="1" x14ac:dyDescent="0.3">
      <c r="A157" s="88"/>
      <c r="B157" s="158" t="s">
        <v>258</v>
      </c>
      <c r="C157" s="75">
        <v>0.05</v>
      </c>
      <c r="D157" s="28">
        <f>(D153/(1-C158)*C157)</f>
        <v>315.5134550252983</v>
      </c>
      <c r="E157" s="20"/>
      <c r="F157" s="20"/>
      <c r="G157" s="20"/>
    </row>
    <row r="158" spans="1:7" hidden="1" outlineLevel="1" x14ac:dyDescent="0.3">
      <c r="A158" s="305" t="s">
        <v>83</v>
      </c>
      <c r="B158" s="307"/>
      <c r="C158" s="76">
        <f>SUM(C155:C157)</f>
        <v>8.6499999999999994E-2</v>
      </c>
      <c r="D158" s="28">
        <f>SUM(D155:D157)</f>
        <v>545.83827719376598</v>
      </c>
      <c r="E158" s="20"/>
      <c r="F158" s="20"/>
      <c r="G158" s="20"/>
    </row>
    <row r="159" spans="1:7" collapsed="1" x14ac:dyDescent="0.3">
      <c r="A159" s="292" t="s">
        <v>84</v>
      </c>
      <c r="B159" s="293"/>
      <c r="C159" s="77">
        <f>SUM(C150+C152+C158)</f>
        <v>0.19929999999999998</v>
      </c>
      <c r="D159" s="29">
        <f>SUM(D158+D150+D152)</f>
        <v>1144.9201953363327</v>
      </c>
      <c r="E159" s="20"/>
      <c r="F159" s="20"/>
      <c r="G159" s="20"/>
    </row>
    <row r="160" spans="1:7" x14ac:dyDescent="0.3">
      <c r="A160" s="289"/>
      <c r="B160" s="290"/>
      <c r="C160" s="290"/>
      <c r="D160" s="291"/>
      <c r="E160" s="20"/>
      <c r="F160" s="20"/>
      <c r="G160" s="20"/>
    </row>
    <row r="161" spans="1:7" x14ac:dyDescent="0.3">
      <c r="A161" s="280" t="s">
        <v>85</v>
      </c>
      <c r="B161" s="282"/>
      <c r="C161" s="281"/>
      <c r="D161" s="78" t="s">
        <v>39</v>
      </c>
      <c r="E161" s="20"/>
      <c r="F161" s="20"/>
      <c r="G161" s="20"/>
    </row>
    <row r="162" spans="1:7" x14ac:dyDescent="0.3">
      <c r="A162" s="275" t="s">
        <v>86</v>
      </c>
      <c r="B162" s="320"/>
      <c r="C162" s="320"/>
      <c r="D162" s="276"/>
      <c r="E162" s="20"/>
      <c r="F162" s="20"/>
      <c r="G162" s="20"/>
    </row>
    <row r="163" spans="1:7" x14ac:dyDescent="0.3">
      <c r="A163" s="156" t="s">
        <v>40</v>
      </c>
      <c r="B163" s="275" t="s">
        <v>87</v>
      </c>
      <c r="C163" s="276"/>
      <c r="D163" s="25">
        <f>D34</f>
        <v>2592.7835397727272</v>
      </c>
      <c r="E163" s="20"/>
      <c r="F163" s="20"/>
      <c r="G163" s="20"/>
    </row>
    <row r="164" spans="1:7" x14ac:dyDescent="0.3">
      <c r="A164" s="156" t="s">
        <v>19</v>
      </c>
      <c r="B164" s="275" t="s">
        <v>88</v>
      </c>
      <c r="C164" s="276"/>
      <c r="D164" s="25">
        <f>D70</f>
        <v>1864.7785812102272</v>
      </c>
      <c r="E164" s="20"/>
      <c r="F164" s="20"/>
      <c r="G164" s="20"/>
    </row>
    <row r="165" spans="1:7" x14ac:dyDescent="0.3">
      <c r="A165" s="156" t="s">
        <v>20</v>
      </c>
      <c r="B165" s="275" t="s">
        <v>89</v>
      </c>
      <c r="C165" s="276"/>
      <c r="D165" s="25">
        <f>D113</f>
        <v>248.70843107787553</v>
      </c>
      <c r="E165" s="20"/>
      <c r="F165" s="20"/>
      <c r="G165" s="20"/>
    </row>
    <row r="166" spans="1:7" x14ac:dyDescent="0.3">
      <c r="A166" s="156" t="s">
        <v>22</v>
      </c>
      <c r="B166" s="275" t="s">
        <v>90</v>
      </c>
      <c r="C166" s="276"/>
      <c r="D166" s="25">
        <f>D134</f>
        <v>319.0976308865803</v>
      </c>
      <c r="E166" s="20"/>
      <c r="F166" s="20"/>
      <c r="G166" s="20"/>
    </row>
    <row r="167" spans="1:7" x14ac:dyDescent="0.3">
      <c r="A167" s="156" t="s">
        <v>25</v>
      </c>
      <c r="B167" s="275" t="s">
        <v>91</v>
      </c>
      <c r="C167" s="276"/>
      <c r="D167" s="25">
        <f>D143</f>
        <v>139.9807222222222</v>
      </c>
      <c r="E167" s="20"/>
      <c r="F167" s="20"/>
      <c r="G167" s="20"/>
    </row>
    <row r="168" spans="1:7" x14ac:dyDescent="0.3">
      <c r="A168" s="321" t="s">
        <v>92</v>
      </c>
      <c r="B168" s="322"/>
      <c r="C168" s="323"/>
      <c r="D168" s="25">
        <f>SUM(D163:D167)</f>
        <v>5165.3489051696324</v>
      </c>
      <c r="E168" s="20"/>
      <c r="F168" s="20"/>
      <c r="G168" s="20"/>
    </row>
    <row r="169" spans="1:7" x14ac:dyDescent="0.3">
      <c r="A169" s="156" t="s">
        <v>93</v>
      </c>
      <c r="B169" s="275" t="s">
        <v>94</v>
      </c>
      <c r="C169" s="276"/>
      <c r="D169" s="25">
        <f>D159</f>
        <v>1144.9201953363327</v>
      </c>
      <c r="E169" s="20"/>
      <c r="F169" s="20"/>
      <c r="G169" s="20"/>
    </row>
    <row r="170" spans="1:7" x14ac:dyDescent="0.3">
      <c r="A170" s="280" t="s">
        <v>95</v>
      </c>
      <c r="B170" s="282"/>
      <c r="C170" s="281"/>
      <c r="D170" s="124">
        <f xml:space="preserve"> D168+D169</f>
        <v>6310.2691005059651</v>
      </c>
      <c r="E170" s="20"/>
      <c r="F170" s="20"/>
      <c r="G170" s="20"/>
    </row>
    <row r="171" spans="1:7" x14ac:dyDescent="0.3">
      <c r="A171" s="20"/>
      <c r="B171" s="20"/>
      <c r="C171" s="20"/>
      <c r="D171" s="20"/>
      <c r="E171" s="20"/>
      <c r="F171" s="20"/>
      <c r="G171" s="20"/>
    </row>
    <row r="172" spans="1:7" x14ac:dyDescent="0.3">
      <c r="A172" s="324" t="s">
        <v>3</v>
      </c>
      <c r="B172" s="325"/>
      <c r="C172" s="326"/>
      <c r="D172" s="79" t="s">
        <v>2</v>
      </c>
      <c r="E172" s="20"/>
      <c r="F172" s="20"/>
      <c r="G172" s="20"/>
    </row>
    <row r="173" spans="1:7" x14ac:dyDescent="0.3">
      <c r="A173" s="327" t="s">
        <v>113</v>
      </c>
      <c r="B173" s="328"/>
      <c r="C173" s="329"/>
      <c r="D173" s="80">
        <f>C17</f>
        <v>2</v>
      </c>
      <c r="E173" s="20"/>
      <c r="F173" s="20"/>
      <c r="G173" s="20"/>
    </row>
    <row r="174" spans="1:7" x14ac:dyDescent="0.3">
      <c r="A174" s="327" t="s">
        <v>0</v>
      </c>
      <c r="B174" s="328"/>
      <c r="C174" s="329"/>
      <c r="D174" s="90">
        <f>D173*D170</f>
        <v>12620.53820101193</v>
      </c>
      <c r="E174" s="20"/>
      <c r="F174" s="20"/>
      <c r="G174" s="20"/>
    </row>
    <row r="175" spans="1:7" x14ac:dyDescent="0.3">
      <c r="A175" s="20"/>
      <c r="B175" s="20"/>
      <c r="C175" s="20"/>
      <c r="D175" s="20"/>
      <c r="E175" s="20"/>
      <c r="F175" s="20"/>
      <c r="G175" s="20"/>
    </row>
    <row r="176" spans="1:7" x14ac:dyDescent="0.3">
      <c r="A176" s="20"/>
      <c r="B176" s="20"/>
      <c r="C176" s="20"/>
      <c r="D176" s="20"/>
      <c r="E176" s="20"/>
      <c r="F176" s="20"/>
      <c r="G176" s="20"/>
    </row>
  </sheetData>
  <mergeCells count="96">
    <mergeCell ref="C10:D10"/>
    <mergeCell ref="A1:D1"/>
    <mergeCell ref="A2:B2"/>
    <mergeCell ref="C2:D2"/>
    <mergeCell ref="A3:B3"/>
    <mergeCell ref="C3:D3"/>
    <mergeCell ref="A4:D4"/>
    <mergeCell ref="A5:D5"/>
    <mergeCell ref="C6:D6"/>
    <mergeCell ref="C7:D7"/>
    <mergeCell ref="C8:D8"/>
    <mergeCell ref="C9:D9"/>
    <mergeCell ref="B22:C22"/>
    <mergeCell ref="C11:D11"/>
    <mergeCell ref="C12:D12"/>
    <mergeCell ref="A13:D13"/>
    <mergeCell ref="A14:D14"/>
    <mergeCell ref="A15:D15"/>
    <mergeCell ref="C16:D16"/>
    <mergeCell ref="C17:D17"/>
    <mergeCell ref="C18:D18"/>
    <mergeCell ref="A19:D19"/>
    <mergeCell ref="B20:C20"/>
    <mergeCell ref="B21:C21"/>
    <mergeCell ref="A54:D54"/>
    <mergeCell ref="A23:D23"/>
    <mergeCell ref="A24:D24"/>
    <mergeCell ref="A25:D25"/>
    <mergeCell ref="B26:C26"/>
    <mergeCell ref="A34:C34"/>
    <mergeCell ref="A35:D35"/>
    <mergeCell ref="A36:D36"/>
    <mergeCell ref="A37:D37"/>
    <mergeCell ref="A42:B42"/>
    <mergeCell ref="A43:D43"/>
    <mergeCell ref="A53:B53"/>
    <mergeCell ref="A104:B104"/>
    <mergeCell ref="A64:C64"/>
    <mergeCell ref="A65:D65"/>
    <mergeCell ref="A66:B66"/>
    <mergeCell ref="A70:C70"/>
    <mergeCell ref="A71:D71"/>
    <mergeCell ref="A72:D72"/>
    <mergeCell ref="A73:D73"/>
    <mergeCell ref="A86:B86"/>
    <mergeCell ref="A87:D87"/>
    <mergeCell ref="A98:B98"/>
    <mergeCell ref="A99:D99"/>
    <mergeCell ref="A129:B129"/>
    <mergeCell ref="A105:D105"/>
    <mergeCell ref="A106:B106"/>
    <mergeCell ref="A109:C109"/>
    <mergeCell ref="A110:B110"/>
    <mergeCell ref="A111:B111"/>
    <mergeCell ref="A113:B113"/>
    <mergeCell ref="A114:D114"/>
    <mergeCell ref="A115:D115"/>
    <mergeCell ref="A116:D116"/>
    <mergeCell ref="A120:B120"/>
    <mergeCell ref="A121:D121"/>
    <mergeCell ref="A143:C143"/>
    <mergeCell ref="A130:D130"/>
    <mergeCell ref="A131:B131"/>
    <mergeCell ref="A134:C134"/>
    <mergeCell ref="A135:D135"/>
    <mergeCell ref="A136:D136"/>
    <mergeCell ref="A137:D137"/>
    <mergeCell ref="B138:C138"/>
    <mergeCell ref="B139:C139"/>
    <mergeCell ref="B140:C140"/>
    <mergeCell ref="B141:C141"/>
    <mergeCell ref="B142:C142"/>
    <mergeCell ref="A161:C161"/>
    <mergeCell ref="A144:D144"/>
    <mergeCell ref="A145:C145"/>
    <mergeCell ref="A146:D146"/>
    <mergeCell ref="A147:D147"/>
    <mergeCell ref="A148:D148"/>
    <mergeCell ref="A151:C151"/>
    <mergeCell ref="A153:C153"/>
    <mergeCell ref="B154:D154"/>
    <mergeCell ref="A158:B158"/>
    <mergeCell ref="A159:B159"/>
    <mergeCell ref="A160:D160"/>
    <mergeCell ref="A174:C174"/>
    <mergeCell ref="A162:D162"/>
    <mergeCell ref="B163:C163"/>
    <mergeCell ref="B164:C164"/>
    <mergeCell ref="B165:C165"/>
    <mergeCell ref="B166:C166"/>
    <mergeCell ref="B167:C167"/>
    <mergeCell ref="A168:C168"/>
    <mergeCell ref="B169:C169"/>
    <mergeCell ref="A170:C170"/>
    <mergeCell ref="A172:C172"/>
    <mergeCell ref="A173:C17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7AD9F2-6540-4265-A7C1-FFED7E15E665}">
  <sheetPr codeName="Planilha10"/>
  <dimension ref="A1:WVO176"/>
  <sheetViews>
    <sheetView zoomScale="85" zoomScaleNormal="85" workbookViewId="0">
      <selection activeCell="A13" sqref="A13:D13"/>
    </sheetView>
  </sheetViews>
  <sheetFormatPr defaultColWidth="0" defaultRowHeight="15.75" customHeight="1" zeroHeight="1" outlineLevelRow="2" x14ac:dyDescent="0.3"/>
  <cols>
    <col min="1" max="1" width="18.7109375" style="21" customWidth="1"/>
    <col min="2" max="2" width="72" style="21" customWidth="1"/>
    <col min="3" max="3" width="22.85546875" style="21" customWidth="1"/>
    <col min="4" max="4" width="29.85546875" style="21" customWidth="1"/>
    <col min="5" max="5" width="11.85546875" style="81" customWidth="1"/>
    <col min="6" max="6" width="9.140625" style="81" customWidth="1"/>
    <col min="7" max="254" width="9.140625" style="81" hidden="1"/>
    <col min="255" max="255" width="18.7109375" style="81" hidden="1"/>
    <col min="256" max="256" width="72" style="81" hidden="1"/>
    <col min="257" max="257" width="22.85546875" style="81" hidden="1"/>
    <col min="258" max="258" width="29.85546875" style="81" hidden="1"/>
    <col min="259" max="260" width="9.140625" style="81" hidden="1"/>
    <col min="261" max="261" width="15.42578125" style="81" hidden="1"/>
    <col min="262" max="510" width="9.140625" style="81" hidden="1"/>
    <col min="511" max="511" width="18.7109375" style="81" hidden="1"/>
    <col min="512" max="512" width="72" style="81" hidden="1"/>
    <col min="513" max="513" width="22.85546875" style="81" hidden="1"/>
    <col min="514" max="514" width="29.85546875" style="81" hidden="1"/>
    <col min="515" max="516" width="9.140625" style="81" hidden="1"/>
    <col min="517" max="517" width="15.42578125" style="81" hidden="1"/>
    <col min="518" max="766" width="9.140625" style="81" hidden="1"/>
    <col min="767" max="767" width="18.7109375" style="81" hidden="1"/>
    <col min="768" max="768" width="72" style="81" hidden="1"/>
    <col min="769" max="769" width="22.85546875" style="81" hidden="1"/>
    <col min="770" max="770" width="29.85546875" style="81" hidden="1"/>
    <col min="771" max="772" width="9.140625" style="81" hidden="1"/>
    <col min="773" max="773" width="15.42578125" style="81" hidden="1"/>
    <col min="774" max="1022" width="9.140625" style="81" hidden="1"/>
    <col min="1023" max="1023" width="18.7109375" style="81" hidden="1"/>
    <col min="1024" max="1024" width="72" style="81" hidden="1"/>
    <col min="1025" max="1025" width="22.85546875" style="81" hidden="1"/>
    <col min="1026" max="1026" width="29.85546875" style="81" hidden="1"/>
    <col min="1027" max="1028" width="9.140625" style="81" hidden="1"/>
    <col min="1029" max="1029" width="15.42578125" style="81" hidden="1"/>
    <col min="1030" max="1278" width="9.140625" style="81" hidden="1"/>
    <col min="1279" max="1279" width="18.7109375" style="81" hidden="1"/>
    <col min="1280" max="1280" width="72" style="81" hidden="1"/>
    <col min="1281" max="1281" width="22.85546875" style="81" hidden="1"/>
    <col min="1282" max="1282" width="29.85546875" style="81" hidden="1"/>
    <col min="1283" max="1284" width="9.140625" style="81" hidden="1"/>
    <col min="1285" max="1285" width="15.42578125" style="81" hidden="1"/>
    <col min="1286" max="1534" width="9.140625" style="81" hidden="1"/>
    <col min="1535" max="1535" width="18.7109375" style="81" hidden="1"/>
    <col min="1536" max="1536" width="72" style="81" hidden="1"/>
    <col min="1537" max="1537" width="22.85546875" style="81" hidden="1"/>
    <col min="1538" max="1538" width="29.85546875" style="81" hidden="1"/>
    <col min="1539" max="1540" width="9.140625" style="81" hidden="1"/>
    <col min="1541" max="1541" width="15.42578125" style="81" hidden="1"/>
    <col min="1542" max="1790" width="9.140625" style="81" hidden="1"/>
    <col min="1791" max="1791" width="18.7109375" style="81" hidden="1"/>
    <col min="1792" max="1792" width="72" style="81" hidden="1"/>
    <col min="1793" max="1793" width="22.85546875" style="81" hidden="1"/>
    <col min="1794" max="1794" width="29.85546875" style="81" hidden="1"/>
    <col min="1795" max="1796" width="9.140625" style="81" hidden="1"/>
    <col min="1797" max="1797" width="15.42578125" style="81" hidden="1"/>
    <col min="1798" max="2046" width="9.140625" style="81" hidden="1"/>
    <col min="2047" max="2047" width="18.7109375" style="81" hidden="1"/>
    <col min="2048" max="2048" width="72" style="81" hidden="1"/>
    <col min="2049" max="2049" width="22.85546875" style="81" hidden="1"/>
    <col min="2050" max="2050" width="29.85546875" style="81" hidden="1"/>
    <col min="2051" max="2052" width="9.140625" style="81" hidden="1"/>
    <col min="2053" max="2053" width="15.42578125" style="81" hidden="1"/>
    <col min="2054" max="2302" width="9.140625" style="81" hidden="1"/>
    <col min="2303" max="2303" width="18.7109375" style="81" hidden="1"/>
    <col min="2304" max="2304" width="72" style="81" hidden="1"/>
    <col min="2305" max="2305" width="22.85546875" style="81" hidden="1"/>
    <col min="2306" max="2306" width="29.85546875" style="81" hidden="1"/>
    <col min="2307" max="2308" width="9.140625" style="81" hidden="1"/>
    <col min="2309" max="2309" width="15.42578125" style="81" hidden="1"/>
    <col min="2310" max="2558" width="9.140625" style="81" hidden="1"/>
    <col min="2559" max="2559" width="18.7109375" style="81" hidden="1"/>
    <col min="2560" max="2560" width="72" style="81" hidden="1"/>
    <col min="2561" max="2561" width="22.85546875" style="81" hidden="1"/>
    <col min="2562" max="2562" width="29.85546875" style="81" hidden="1"/>
    <col min="2563" max="2564" width="9.140625" style="81" hidden="1"/>
    <col min="2565" max="2565" width="15.42578125" style="81" hidden="1"/>
    <col min="2566" max="2814" width="9.140625" style="81" hidden="1"/>
    <col min="2815" max="2815" width="18.7109375" style="81" hidden="1"/>
    <col min="2816" max="2816" width="72" style="81" hidden="1"/>
    <col min="2817" max="2817" width="22.85546875" style="81" hidden="1"/>
    <col min="2818" max="2818" width="29.85546875" style="81" hidden="1"/>
    <col min="2819" max="2820" width="9.140625" style="81" hidden="1"/>
    <col min="2821" max="2821" width="15.42578125" style="81" hidden="1"/>
    <col min="2822" max="3070" width="9.140625" style="81" hidden="1"/>
    <col min="3071" max="3071" width="18.7109375" style="81" hidden="1"/>
    <col min="3072" max="3072" width="72" style="81" hidden="1"/>
    <col min="3073" max="3073" width="22.85546875" style="81" hidden="1"/>
    <col min="3074" max="3074" width="29.85546875" style="81" hidden="1"/>
    <col min="3075" max="3076" width="9.140625" style="81" hidden="1"/>
    <col min="3077" max="3077" width="15.42578125" style="81" hidden="1"/>
    <col min="3078" max="3326" width="9.140625" style="81" hidden="1"/>
    <col min="3327" max="3327" width="18.7109375" style="81" hidden="1"/>
    <col min="3328" max="3328" width="72" style="81" hidden="1"/>
    <col min="3329" max="3329" width="22.85546875" style="81" hidden="1"/>
    <col min="3330" max="3330" width="29.85546875" style="81" hidden="1"/>
    <col min="3331" max="3332" width="9.140625" style="81" hidden="1"/>
    <col min="3333" max="3333" width="15.42578125" style="81" hidden="1"/>
    <col min="3334" max="3582" width="9.140625" style="81" hidden="1"/>
    <col min="3583" max="3583" width="18.7109375" style="81" hidden="1"/>
    <col min="3584" max="3584" width="72" style="81" hidden="1"/>
    <col min="3585" max="3585" width="22.85546875" style="81" hidden="1"/>
    <col min="3586" max="3586" width="29.85546875" style="81" hidden="1"/>
    <col min="3587" max="3588" width="9.140625" style="81" hidden="1"/>
    <col min="3589" max="3589" width="15.42578125" style="81" hidden="1"/>
    <col min="3590" max="3838" width="9.140625" style="81" hidden="1"/>
    <col min="3839" max="3839" width="18.7109375" style="81" hidden="1"/>
    <col min="3840" max="3840" width="72" style="81" hidden="1"/>
    <col min="3841" max="3841" width="22.85546875" style="81" hidden="1"/>
    <col min="3842" max="3842" width="29.85546875" style="81" hidden="1"/>
    <col min="3843" max="3844" width="9.140625" style="81" hidden="1"/>
    <col min="3845" max="3845" width="15.42578125" style="81" hidden="1"/>
    <col min="3846" max="4094" width="9.140625" style="81" hidden="1"/>
    <col min="4095" max="4095" width="18.7109375" style="81" hidden="1"/>
    <col min="4096" max="4096" width="72" style="81" hidden="1"/>
    <col min="4097" max="4097" width="22.85546875" style="81" hidden="1"/>
    <col min="4098" max="4098" width="29.85546875" style="81" hidden="1"/>
    <col min="4099" max="4100" width="9.140625" style="81" hidden="1"/>
    <col min="4101" max="4101" width="15.42578125" style="81" hidden="1"/>
    <col min="4102" max="4350" width="9.140625" style="81" hidden="1"/>
    <col min="4351" max="4351" width="18.7109375" style="81" hidden="1"/>
    <col min="4352" max="4352" width="72" style="81" hidden="1"/>
    <col min="4353" max="4353" width="22.85546875" style="81" hidden="1"/>
    <col min="4354" max="4354" width="29.85546875" style="81" hidden="1"/>
    <col min="4355" max="4356" width="9.140625" style="81" hidden="1"/>
    <col min="4357" max="4357" width="15.42578125" style="81" hidden="1"/>
    <col min="4358" max="4606" width="9.140625" style="81" hidden="1"/>
    <col min="4607" max="4607" width="18.7109375" style="81" hidden="1"/>
    <col min="4608" max="4608" width="72" style="81" hidden="1"/>
    <col min="4609" max="4609" width="22.85546875" style="81" hidden="1"/>
    <col min="4610" max="4610" width="29.85546875" style="81" hidden="1"/>
    <col min="4611" max="4612" width="9.140625" style="81" hidden="1"/>
    <col min="4613" max="4613" width="15.42578125" style="81" hidden="1"/>
    <col min="4614" max="4862" width="9.140625" style="81" hidden="1"/>
    <col min="4863" max="4863" width="18.7109375" style="81" hidden="1"/>
    <col min="4864" max="4864" width="72" style="81" hidden="1"/>
    <col min="4865" max="4865" width="22.85546875" style="81" hidden="1"/>
    <col min="4866" max="4866" width="29.85546875" style="81" hidden="1"/>
    <col min="4867" max="4868" width="9.140625" style="81" hidden="1"/>
    <col min="4869" max="4869" width="15.42578125" style="81" hidden="1"/>
    <col min="4870" max="5118" width="9.140625" style="81" hidden="1"/>
    <col min="5119" max="5119" width="18.7109375" style="81" hidden="1"/>
    <col min="5120" max="5120" width="72" style="81" hidden="1"/>
    <col min="5121" max="5121" width="22.85546875" style="81" hidden="1"/>
    <col min="5122" max="5122" width="29.85546875" style="81" hidden="1"/>
    <col min="5123" max="5124" width="9.140625" style="81" hidden="1"/>
    <col min="5125" max="5125" width="15.42578125" style="81" hidden="1"/>
    <col min="5126" max="5374" width="9.140625" style="81" hidden="1"/>
    <col min="5375" max="5375" width="18.7109375" style="81" hidden="1"/>
    <col min="5376" max="5376" width="72" style="81" hidden="1"/>
    <col min="5377" max="5377" width="22.85546875" style="81" hidden="1"/>
    <col min="5378" max="5378" width="29.85546875" style="81" hidden="1"/>
    <col min="5379" max="5380" width="9.140625" style="81" hidden="1"/>
    <col min="5381" max="5381" width="15.42578125" style="81" hidden="1"/>
    <col min="5382" max="5630" width="9.140625" style="81" hidden="1"/>
    <col min="5631" max="5631" width="18.7109375" style="81" hidden="1"/>
    <col min="5632" max="5632" width="72" style="81" hidden="1"/>
    <col min="5633" max="5633" width="22.85546875" style="81" hidden="1"/>
    <col min="5634" max="5634" width="29.85546875" style="81" hidden="1"/>
    <col min="5635" max="5636" width="9.140625" style="81" hidden="1"/>
    <col min="5637" max="5637" width="15.42578125" style="81" hidden="1"/>
    <col min="5638" max="5886" width="9.140625" style="81" hidden="1"/>
    <col min="5887" max="5887" width="18.7109375" style="81" hidden="1"/>
    <col min="5888" max="5888" width="72" style="81" hidden="1"/>
    <col min="5889" max="5889" width="22.85546875" style="81" hidden="1"/>
    <col min="5890" max="5890" width="29.85546875" style="81" hidden="1"/>
    <col min="5891" max="5892" width="9.140625" style="81" hidden="1"/>
    <col min="5893" max="5893" width="15.42578125" style="81" hidden="1"/>
    <col min="5894" max="6142" width="9.140625" style="81" hidden="1"/>
    <col min="6143" max="6143" width="18.7109375" style="81" hidden="1"/>
    <col min="6144" max="6144" width="72" style="81" hidden="1"/>
    <col min="6145" max="6145" width="22.85546875" style="81" hidden="1"/>
    <col min="6146" max="6146" width="29.85546875" style="81" hidden="1"/>
    <col min="6147" max="6148" width="9.140625" style="81" hidden="1"/>
    <col min="6149" max="6149" width="15.42578125" style="81" hidden="1"/>
    <col min="6150" max="6398" width="9.140625" style="81" hidden="1"/>
    <col min="6399" max="6399" width="18.7109375" style="81" hidden="1"/>
    <col min="6400" max="6400" width="72" style="81" hidden="1"/>
    <col min="6401" max="6401" width="22.85546875" style="81" hidden="1"/>
    <col min="6402" max="6402" width="29.85546875" style="81" hidden="1"/>
    <col min="6403" max="6404" width="9.140625" style="81" hidden="1"/>
    <col min="6405" max="6405" width="15.42578125" style="81" hidden="1"/>
    <col min="6406" max="6654" width="9.140625" style="81" hidden="1"/>
    <col min="6655" max="6655" width="18.7109375" style="81" hidden="1"/>
    <col min="6656" max="6656" width="72" style="81" hidden="1"/>
    <col min="6657" max="6657" width="22.85546875" style="81" hidden="1"/>
    <col min="6658" max="6658" width="29.85546875" style="81" hidden="1"/>
    <col min="6659" max="6660" width="9.140625" style="81" hidden="1"/>
    <col min="6661" max="6661" width="15.42578125" style="81" hidden="1"/>
    <col min="6662" max="6910" width="9.140625" style="81" hidden="1"/>
    <col min="6911" max="6911" width="18.7109375" style="81" hidden="1"/>
    <col min="6912" max="6912" width="72" style="81" hidden="1"/>
    <col min="6913" max="6913" width="22.85546875" style="81" hidden="1"/>
    <col min="6914" max="6914" width="29.85546875" style="81" hidden="1"/>
    <col min="6915" max="6916" width="9.140625" style="81" hidden="1"/>
    <col min="6917" max="6917" width="15.42578125" style="81" hidden="1"/>
    <col min="6918" max="7166" width="9.140625" style="81" hidden="1"/>
    <col min="7167" max="7167" width="18.7109375" style="81" hidden="1"/>
    <col min="7168" max="7168" width="72" style="81" hidden="1"/>
    <col min="7169" max="7169" width="22.85546875" style="81" hidden="1"/>
    <col min="7170" max="7170" width="29.85546875" style="81" hidden="1"/>
    <col min="7171" max="7172" width="9.140625" style="81" hidden="1"/>
    <col min="7173" max="7173" width="15.42578125" style="81" hidden="1"/>
    <col min="7174" max="7422" width="9.140625" style="81" hidden="1"/>
    <col min="7423" max="7423" width="18.7109375" style="81" hidden="1"/>
    <col min="7424" max="7424" width="72" style="81" hidden="1"/>
    <col min="7425" max="7425" width="22.85546875" style="81" hidden="1"/>
    <col min="7426" max="7426" width="29.85546875" style="81" hidden="1"/>
    <col min="7427" max="7428" width="9.140625" style="81" hidden="1"/>
    <col min="7429" max="7429" width="15.42578125" style="81" hidden="1"/>
    <col min="7430" max="7678" width="9.140625" style="81" hidden="1"/>
    <col min="7679" max="7679" width="18.7109375" style="81" hidden="1"/>
    <col min="7680" max="7680" width="72" style="81" hidden="1"/>
    <col min="7681" max="7681" width="22.85546875" style="81" hidden="1"/>
    <col min="7682" max="7682" width="29.85546875" style="81" hidden="1"/>
    <col min="7683" max="7684" width="9.140625" style="81" hidden="1"/>
    <col min="7685" max="7685" width="15.42578125" style="81" hidden="1"/>
    <col min="7686" max="7934" width="9.140625" style="81" hidden="1"/>
    <col min="7935" max="7935" width="18.7109375" style="81" hidden="1"/>
    <col min="7936" max="7936" width="72" style="81" hidden="1"/>
    <col min="7937" max="7937" width="22.85546875" style="81" hidden="1"/>
    <col min="7938" max="7938" width="29.85546875" style="81" hidden="1"/>
    <col min="7939" max="7940" width="9.140625" style="81" hidden="1"/>
    <col min="7941" max="7941" width="15.42578125" style="81" hidden="1"/>
    <col min="7942" max="8190" width="9.140625" style="81" hidden="1"/>
    <col min="8191" max="8191" width="18.7109375" style="81" hidden="1"/>
    <col min="8192" max="8192" width="72" style="81" hidden="1"/>
    <col min="8193" max="8193" width="22.85546875" style="81" hidden="1"/>
    <col min="8194" max="8194" width="29.85546875" style="81" hidden="1"/>
    <col min="8195" max="8196" width="9.140625" style="81" hidden="1"/>
    <col min="8197" max="8197" width="15.42578125" style="81" hidden="1"/>
    <col min="8198" max="8446" width="9.140625" style="81" hidden="1"/>
    <col min="8447" max="8447" width="18.7109375" style="81" hidden="1"/>
    <col min="8448" max="8448" width="72" style="81" hidden="1"/>
    <col min="8449" max="8449" width="22.85546875" style="81" hidden="1"/>
    <col min="8450" max="8450" width="29.85546875" style="81" hidden="1"/>
    <col min="8451" max="8452" width="9.140625" style="81" hidden="1"/>
    <col min="8453" max="8453" width="15.42578125" style="81" hidden="1"/>
    <col min="8454" max="8702" width="9.140625" style="81" hidden="1"/>
    <col min="8703" max="8703" width="18.7109375" style="81" hidden="1"/>
    <col min="8704" max="8704" width="72" style="81" hidden="1"/>
    <col min="8705" max="8705" width="22.85546875" style="81" hidden="1"/>
    <col min="8706" max="8706" width="29.85546875" style="81" hidden="1"/>
    <col min="8707" max="8708" width="9.140625" style="81" hidden="1"/>
    <col min="8709" max="8709" width="15.42578125" style="81" hidden="1"/>
    <col min="8710" max="8958" width="9.140625" style="81" hidden="1"/>
    <col min="8959" max="8959" width="18.7109375" style="81" hidden="1"/>
    <col min="8960" max="8960" width="72" style="81" hidden="1"/>
    <col min="8961" max="8961" width="22.85546875" style="81" hidden="1"/>
    <col min="8962" max="8962" width="29.85546875" style="81" hidden="1"/>
    <col min="8963" max="8964" width="9.140625" style="81" hidden="1"/>
    <col min="8965" max="8965" width="15.42578125" style="81" hidden="1"/>
    <col min="8966" max="9214" width="9.140625" style="81" hidden="1"/>
    <col min="9215" max="9215" width="18.7109375" style="81" hidden="1"/>
    <col min="9216" max="9216" width="72" style="81" hidden="1"/>
    <col min="9217" max="9217" width="22.85546875" style="81" hidden="1"/>
    <col min="9218" max="9218" width="29.85546875" style="81" hidden="1"/>
    <col min="9219" max="9220" width="9.140625" style="81" hidden="1"/>
    <col min="9221" max="9221" width="15.42578125" style="81" hidden="1"/>
    <col min="9222" max="9470" width="9.140625" style="81" hidden="1"/>
    <col min="9471" max="9471" width="18.7109375" style="81" hidden="1"/>
    <col min="9472" max="9472" width="72" style="81" hidden="1"/>
    <col min="9473" max="9473" width="22.85546875" style="81" hidden="1"/>
    <col min="9474" max="9474" width="29.85546875" style="81" hidden="1"/>
    <col min="9475" max="9476" width="9.140625" style="81" hidden="1"/>
    <col min="9477" max="9477" width="15.42578125" style="81" hidden="1"/>
    <col min="9478" max="9726" width="9.140625" style="81" hidden="1"/>
    <col min="9727" max="9727" width="18.7109375" style="81" hidden="1"/>
    <col min="9728" max="9728" width="72" style="81" hidden="1"/>
    <col min="9729" max="9729" width="22.85546875" style="81" hidden="1"/>
    <col min="9730" max="9730" width="29.85546875" style="81" hidden="1"/>
    <col min="9731" max="9732" width="9.140625" style="81" hidden="1"/>
    <col min="9733" max="9733" width="15.42578125" style="81" hidden="1"/>
    <col min="9734" max="9982" width="9.140625" style="81" hidden="1"/>
    <col min="9983" max="9983" width="18.7109375" style="81" hidden="1"/>
    <col min="9984" max="9984" width="72" style="81" hidden="1"/>
    <col min="9985" max="9985" width="22.85546875" style="81" hidden="1"/>
    <col min="9986" max="9986" width="29.85546875" style="81" hidden="1"/>
    <col min="9987" max="9988" width="9.140625" style="81" hidden="1"/>
    <col min="9989" max="9989" width="15.42578125" style="81" hidden="1"/>
    <col min="9990" max="10238" width="9.140625" style="81" hidden="1"/>
    <col min="10239" max="10239" width="18.7109375" style="81" hidden="1"/>
    <col min="10240" max="10240" width="72" style="81" hidden="1"/>
    <col min="10241" max="10241" width="22.85546875" style="81" hidden="1"/>
    <col min="10242" max="10242" width="29.85546875" style="81" hidden="1"/>
    <col min="10243" max="10244" width="9.140625" style="81" hidden="1"/>
    <col min="10245" max="10245" width="15.42578125" style="81" hidden="1"/>
    <col min="10246" max="10494" width="9.140625" style="81" hidden="1"/>
    <col min="10495" max="10495" width="18.7109375" style="81" hidden="1"/>
    <col min="10496" max="10496" width="72" style="81" hidden="1"/>
    <col min="10497" max="10497" width="22.85546875" style="81" hidden="1"/>
    <col min="10498" max="10498" width="29.85546875" style="81" hidden="1"/>
    <col min="10499" max="10500" width="9.140625" style="81" hidden="1"/>
    <col min="10501" max="10501" width="15.42578125" style="81" hidden="1"/>
    <col min="10502" max="10750" width="9.140625" style="81" hidden="1"/>
    <col min="10751" max="10751" width="18.7109375" style="81" hidden="1"/>
    <col min="10752" max="10752" width="72" style="81" hidden="1"/>
    <col min="10753" max="10753" width="22.85546875" style="81" hidden="1"/>
    <col min="10754" max="10754" width="29.85546875" style="81" hidden="1"/>
    <col min="10755" max="10756" width="9.140625" style="81" hidden="1"/>
    <col min="10757" max="10757" width="15.42578125" style="81" hidden="1"/>
    <col min="10758" max="11006" width="9.140625" style="81" hidden="1"/>
    <col min="11007" max="11007" width="18.7109375" style="81" hidden="1"/>
    <col min="11008" max="11008" width="72" style="81" hidden="1"/>
    <col min="11009" max="11009" width="22.85546875" style="81" hidden="1"/>
    <col min="11010" max="11010" width="29.85546875" style="81" hidden="1"/>
    <col min="11011" max="11012" width="9.140625" style="81" hidden="1"/>
    <col min="11013" max="11013" width="15.42578125" style="81" hidden="1"/>
    <col min="11014" max="11262" width="9.140625" style="81" hidden="1"/>
    <col min="11263" max="11263" width="18.7109375" style="81" hidden="1"/>
    <col min="11264" max="11264" width="72" style="81" hidden="1"/>
    <col min="11265" max="11265" width="22.85546875" style="81" hidden="1"/>
    <col min="11266" max="11266" width="29.85546875" style="81" hidden="1"/>
    <col min="11267" max="11268" width="9.140625" style="81" hidden="1"/>
    <col min="11269" max="11269" width="15.42578125" style="81" hidden="1"/>
    <col min="11270" max="11518" width="9.140625" style="81" hidden="1"/>
    <col min="11519" max="11519" width="18.7109375" style="81" hidden="1"/>
    <col min="11520" max="11520" width="72" style="81" hidden="1"/>
    <col min="11521" max="11521" width="22.85546875" style="81" hidden="1"/>
    <col min="11522" max="11522" width="29.85546875" style="81" hidden="1"/>
    <col min="11523" max="11524" width="9.140625" style="81" hidden="1"/>
    <col min="11525" max="11525" width="15.42578125" style="81" hidden="1"/>
    <col min="11526" max="11774" width="9.140625" style="81" hidden="1"/>
    <col min="11775" max="11775" width="18.7109375" style="81" hidden="1"/>
    <col min="11776" max="11776" width="72" style="81" hidden="1"/>
    <col min="11777" max="11777" width="22.85546875" style="81" hidden="1"/>
    <col min="11778" max="11778" width="29.85546875" style="81" hidden="1"/>
    <col min="11779" max="11780" width="9.140625" style="81" hidden="1"/>
    <col min="11781" max="11781" width="15.42578125" style="81" hidden="1"/>
    <col min="11782" max="12030" width="9.140625" style="81" hidden="1"/>
    <col min="12031" max="12031" width="18.7109375" style="81" hidden="1"/>
    <col min="12032" max="12032" width="72" style="81" hidden="1"/>
    <col min="12033" max="12033" width="22.85546875" style="81" hidden="1"/>
    <col min="12034" max="12034" width="29.85546875" style="81" hidden="1"/>
    <col min="12035" max="12036" width="9.140625" style="81" hidden="1"/>
    <col min="12037" max="12037" width="15.42578125" style="81" hidden="1"/>
    <col min="12038" max="12286" width="9.140625" style="81" hidden="1"/>
    <col min="12287" max="12287" width="18.7109375" style="81" hidden="1"/>
    <col min="12288" max="12288" width="72" style="81" hidden="1"/>
    <col min="12289" max="12289" width="22.85546875" style="81" hidden="1"/>
    <col min="12290" max="12290" width="29.85546875" style="81" hidden="1"/>
    <col min="12291" max="12292" width="9.140625" style="81" hidden="1"/>
    <col min="12293" max="12293" width="15.42578125" style="81" hidden="1"/>
    <col min="12294" max="12542" width="9.140625" style="81" hidden="1"/>
    <col min="12543" max="12543" width="18.7109375" style="81" hidden="1"/>
    <col min="12544" max="12544" width="72" style="81" hidden="1"/>
    <col min="12545" max="12545" width="22.85546875" style="81" hidden="1"/>
    <col min="12546" max="12546" width="29.85546875" style="81" hidden="1"/>
    <col min="12547" max="12548" width="9.140625" style="81" hidden="1"/>
    <col min="12549" max="12549" width="15.42578125" style="81" hidden="1"/>
    <col min="12550" max="12798" width="9.140625" style="81" hidden="1"/>
    <col min="12799" max="12799" width="18.7109375" style="81" hidden="1"/>
    <col min="12800" max="12800" width="72" style="81" hidden="1"/>
    <col min="12801" max="12801" width="22.85546875" style="81" hidden="1"/>
    <col min="12802" max="12802" width="29.85546875" style="81" hidden="1"/>
    <col min="12803" max="12804" width="9.140625" style="81" hidden="1"/>
    <col min="12805" max="12805" width="15.42578125" style="81" hidden="1"/>
    <col min="12806" max="13054" width="9.140625" style="81" hidden="1"/>
    <col min="13055" max="13055" width="18.7109375" style="81" hidden="1"/>
    <col min="13056" max="13056" width="72" style="81" hidden="1"/>
    <col min="13057" max="13057" width="22.85546875" style="81" hidden="1"/>
    <col min="13058" max="13058" width="29.85546875" style="81" hidden="1"/>
    <col min="13059" max="13060" width="9.140625" style="81" hidden="1"/>
    <col min="13061" max="13061" width="15.42578125" style="81" hidden="1"/>
    <col min="13062" max="13310" width="9.140625" style="81" hidden="1"/>
    <col min="13311" max="13311" width="18.7109375" style="81" hidden="1"/>
    <col min="13312" max="13312" width="72" style="81" hidden="1"/>
    <col min="13313" max="13313" width="22.85546875" style="81" hidden="1"/>
    <col min="13314" max="13314" width="29.85546875" style="81" hidden="1"/>
    <col min="13315" max="13316" width="9.140625" style="81" hidden="1"/>
    <col min="13317" max="13317" width="15.42578125" style="81" hidden="1"/>
    <col min="13318" max="13566" width="9.140625" style="81" hidden="1"/>
    <col min="13567" max="13567" width="18.7109375" style="81" hidden="1"/>
    <col min="13568" max="13568" width="72" style="81" hidden="1"/>
    <col min="13569" max="13569" width="22.85546875" style="81" hidden="1"/>
    <col min="13570" max="13570" width="29.85546875" style="81" hidden="1"/>
    <col min="13571" max="13572" width="9.140625" style="81" hidden="1"/>
    <col min="13573" max="13573" width="15.42578125" style="81" hidden="1"/>
    <col min="13574" max="13822" width="9.140625" style="81" hidden="1"/>
    <col min="13823" max="13823" width="18.7109375" style="81" hidden="1"/>
    <col min="13824" max="13824" width="72" style="81" hidden="1"/>
    <col min="13825" max="13825" width="22.85546875" style="81" hidden="1"/>
    <col min="13826" max="13826" width="29.85546875" style="81" hidden="1"/>
    <col min="13827" max="13828" width="9.140625" style="81" hidden="1"/>
    <col min="13829" max="13829" width="15.42578125" style="81" hidden="1"/>
    <col min="13830" max="14078" width="9.140625" style="81" hidden="1"/>
    <col min="14079" max="14079" width="18.7109375" style="81" hidden="1"/>
    <col min="14080" max="14080" width="72" style="81" hidden="1"/>
    <col min="14081" max="14081" width="22.85546875" style="81" hidden="1"/>
    <col min="14082" max="14082" width="29.85546875" style="81" hidden="1"/>
    <col min="14083" max="14084" width="9.140625" style="81" hidden="1"/>
    <col min="14085" max="14085" width="15.42578125" style="81" hidden="1"/>
    <col min="14086" max="14334" width="9.140625" style="81" hidden="1"/>
    <col min="14335" max="14335" width="18.7109375" style="81" hidden="1"/>
    <col min="14336" max="14336" width="72" style="81" hidden="1"/>
    <col min="14337" max="14337" width="22.85546875" style="81" hidden="1"/>
    <col min="14338" max="14338" width="29.85546875" style="81" hidden="1"/>
    <col min="14339" max="14340" width="9.140625" style="81" hidden="1"/>
    <col min="14341" max="14341" width="15.42578125" style="81" hidden="1"/>
    <col min="14342" max="14590" width="9.140625" style="81" hidden="1"/>
    <col min="14591" max="14591" width="18.7109375" style="81" hidden="1"/>
    <col min="14592" max="14592" width="72" style="81" hidden="1"/>
    <col min="14593" max="14593" width="22.85546875" style="81" hidden="1"/>
    <col min="14594" max="14594" width="29.85546875" style="81" hidden="1"/>
    <col min="14595" max="14596" width="9.140625" style="81" hidden="1"/>
    <col min="14597" max="14597" width="15.42578125" style="81" hidden="1"/>
    <col min="14598" max="14846" width="9.140625" style="81" hidden="1"/>
    <col min="14847" max="14847" width="18.7109375" style="81" hidden="1"/>
    <col min="14848" max="14848" width="72" style="81" hidden="1"/>
    <col min="14849" max="14849" width="22.85546875" style="81" hidden="1"/>
    <col min="14850" max="14850" width="29.85546875" style="81" hidden="1"/>
    <col min="14851" max="14852" width="9.140625" style="81" hidden="1"/>
    <col min="14853" max="14853" width="15.42578125" style="81" hidden="1"/>
    <col min="14854" max="15102" width="9.140625" style="81" hidden="1"/>
    <col min="15103" max="15103" width="18.7109375" style="81" hidden="1"/>
    <col min="15104" max="15104" width="72" style="81" hidden="1"/>
    <col min="15105" max="15105" width="22.85546875" style="81" hidden="1"/>
    <col min="15106" max="15106" width="29.85546875" style="81" hidden="1"/>
    <col min="15107" max="15108" width="9.140625" style="81" hidden="1"/>
    <col min="15109" max="15109" width="15.42578125" style="81" hidden="1"/>
    <col min="15110" max="15358" width="9.140625" style="81" hidden="1"/>
    <col min="15359" max="15359" width="18.7109375" style="81" hidden="1"/>
    <col min="15360" max="15360" width="72" style="81" hidden="1"/>
    <col min="15361" max="15361" width="22.85546875" style="81" hidden="1"/>
    <col min="15362" max="15362" width="29.85546875" style="81" hidden="1"/>
    <col min="15363" max="15364" width="9.140625" style="81" hidden="1"/>
    <col min="15365" max="15365" width="15.42578125" style="81" hidden="1"/>
    <col min="15366" max="15614" width="9.140625" style="81" hidden="1"/>
    <col min="15615" max="15615" width="18.7109375" style="81" hidden="1"/>
    <col min="15616" max="15616" width="72" style="81" hidden="1"/>
    <col min="15617" max="15617" width="22.85546875" style="81" hidden="1"/>
    <col min="15618" max="15618" width="29.85546875" style="81" hidden="1"/>
    <col min="15619" max="15620" width="9.140625" style="81" hidden="1"/>
    <col min="15621" max="15621" width="15.42578125" style="81" hidden="1"/>
    <col min="15622" max="15870" width="9.140625" style="81" hidden="1"/>
    <col min="15871" max="15871" width="18.7109375" style="81" hidden="1"/>
    <col min="15872" max="15872" width="72" style="81" hidden="1"/>
    <col min="15873" max="15873" width="22.85546875" style="81" hidden="1"/>
    <col min="15874" max="15874" width="29.85546875" style="81" hidden="1"/>
    <col min="15875" max="15876" width="9.140625" style="81" hidden="1"/>
    <col min="15877" max="15877" width="15.42578125" style="81" hidden="1"/>
    <col min="15878" max="16126" width="9.140625" style="81" hidden="1"/>
    <col min="16127" max="16127" width="18.7109375" style="81" hidden="1"/>
    <col min="16128" max="16128" width="72" style="81" hidden="1"/>
    <col min="16129" max="16129" width="22.85546875" style="81" hidden="1"/>
    <col min="16130" max="16130" width="29.85546875" style="81" hidden="1"/>
    <col min="16131" max="16132" width="9.140625" style="81" hidden="1"/>
    <col min="16133" max="16135" width="15.42578125" style="81" hidden="1"/>
    <col min="16136" max="16384" width="9.140625" style="81" hidden="1"/>
  </cols>
  <sheetData>
    <row r="1" spans="1:7" x14ac:dyDescent="0.3">
      <c r="A1" s="251" t="s">
        <v>9</v>
      </c>
      <c r="B1" s="251"/>
      <c r="C1" s="251"/>
      <c r="D1" s="251"/>
      <c r="E1" s="20"/>
      <c r="F1" s="20"/>
      <c r="G1" s="20"/>
    </row>
    <row r="2" spans="1:7" x14ac:dyDescent="0.3">
      <c r="A2" s="252" t="s">
        <v>15</v>
      </c>
      <c r="B2" s="252"/>
      <c r="C2" s="253" t="s">
        <v>221</v>
      </c>
      <c r="D2" s="254"/>
      <c r="E2" s="20"/>
      <c r="F2" s="20"/>
      <c r="G2" s="20"/>
    </row>
    <row r="3" spans="1:7" x14ac:dyDescent="0.3">
      <c r="A3" s="252" t="s">
        <v>16</v>
      </c>
      <c r="B3" s="252"/>
      <c r="C3" s="253" t="s">
        <v>198</v>
      </c>
      <c r="D3" s="254"/>
      <c r="E3" s="20"/>
      <c r="F3" s="20"/>
      <c r="G3" s="20"/>
    </row>
    <row r="4" spans="1:7" x14ac:dyDescent="0.3">
      <c r="A4" s="250"/>
      <c r="B4" s="250"/>
      <c r="C4" s="250"/>
      <c r="D4" s="250"/>
      <c r="E4" s="20"/>
      <c r="F4" s="20"/>
      <c r="G4" s="20"/>
    </row>
    <row r="5" spans="1:7" x14ac:dyDescent="0.3">
      <c r="A5" s="250" t="s">
        <v>17</v>
      </c>
      <c r="B5" s="250"/>
      <c r="C5" s="250"/>
      <c r="D5" s="250"/>
      <c r="E5" s="20"/>
      <c r="F5" s="20"/>
      <c r="G5" s="20"/>
    </row>
    <row r="6" spans="1:7" x14ac:dyDescent="0.3">
      <c r="A6" s="156" t="s">
        <v>18</v>
      </c>
      <c r="B6" s="158" t="s">
        <v>8</v>
      </c>
      <c r="C6" s="257" t="s">
        <v>96</v>
      </c>
      <c r="D6" s="258"/>
      <c r="E6" s="20"/>
      <c r="F6" s="20"/>
      <c r="G6" s="20"/>
    </row>
    <row r="7" spans="1:7" x14ac:dyDescent="0.3">
      <c r="A7" s="156" t="s">
        <v>19</v>
      </c>
      <c r="B7" s="158" t="s">
        <v>7</v>
      </c>
      <c r="C7" s="259" t="s">
        <v>260</v>
      </c>
      <c r="D7" s="259"/>
      <c r="E7" s="20"/>
      <c r="F7" s="20"/>
      <c r="G7" s="20"/>
    </row>
    <row r="8" spans="1:7" x14ac:dyDescent="0.3">
      <c r="A8" s="22" t="s">
        <v>20</v>
      </c>
      <c r="B8" s="23" t="s">
        <v>21</v>
      </c>
      <c r="C8" s="260" t="s">
        <v>222</v>
      </c>
      <c r="D8" s="261"/>
      <c r="E8" s="20"/>
      <c r="F8" s="20"/>
      <c r="G8" s="20"/>
    </row>
    <row r="9" spans="1:7" x14ac:dyDescent="0.3">
      <c r="A9" s="156" t="s">
        <v>22</v>
      </c>
      <c r="B9" s="158" t="s">
        <v>23</v>
      </c>
      <c r="C9" s="255" t="s">
        <v>24</v>
      </c>
      <c r="D9" s="256"/>
      <c r="E9" s="20"/>
      <c r="F9" s="20"/>
      <c r="G9" s="20"/>
    </row>
    <row r="10" spans="1:7" x14ac:dyDescent="0.3">
      <c r="A10" s="156" t="s">
        <v>25</v>
      </c>
      <c r="B10" s="158" t="s">
        <v>26</v>
      </c>
      <c r="C10" s="255" t="s">
        <v>199</v>
      </c>
      <c r="D10" s="256"/>
      <c r="E10" s="20"/>
      <c r="F10" s="20"/>
      <c r="G10" s="20"/>
    </row>
    <row r="11" spans="1:7" x14ac:dyDescent="0.3">
      <c r="A11" s="156" t="s">
        <v>27</v>
      </c>
      <c r="B11" s="158" t="s">
        <v>28</v>
      </c>
      <c r="C11" s="262">
        <f>Proposta!F5</f>
        <v>1</v>
      </c>
      <c r="D11" s="263"/>
      <c r="E11" s="20"/>
      <c r="F11" s="20"/>
      <c r="G11" s="20"/>
    </row>
    <row r="12" spans="1:7" x14ac:dyDescent="0.3">
      <c r="A12" s="156" t="s">
        <v>29</v>
      </c>
      <c r="B12" s="158" t="s">
        <v>30</v>
      </c>
      <c r="C12" s="264">
        <f>Proposta!H5</f>
        <v>24</v>
      </c>
      <c r="D12" s="265"/>
      <c r="E12" s="20"/>
      <c r="F12" s="20"/>
      <c r="G12" s="20"/>
    </row>
    <row r="13" spans="1:7" x14ac:dyDescent="0.3">
      <c r="A13" s="266"/>
      <c r="B13" s="267"/>
      <c r="C13" s="267"/>
      <c r="D13" s="267"/>
      <c r="E13" s="20"/>
      <c r="F13" s="20"/>
      <c r="G13" s="20"/>
    </row>
    <row r="14" spans="1:7" x14ac:dyDescent="0.3">
      <c r="A14" s="268" t="s">
        <v>31</v>
      </c>
      <c r="B14" s="269"/>
      <c r="C14" s="269"/>
      <c r="D14" s="270"/>
      <c r="E14" s="20"/>
      <c r="F14" s="20"/>
      <c r="G14" s="20"/>
    </row>
    <row r="15" spans="1:7" x14ac:dyDescent="0.3">
      <c r="A15" s="259" t="s">
        <v>32</v>
      </c>
      <c r="B15" s="259"/>
      <c r="C15" s="259"/>
      <c r="D15" s="259"/>
      <c r="E15" s="20"/>
      <c r="F15" s="20"/>
      <c r="G15" s="20"/>
    </row>
    <row r="16" spans="1:7" x14ac:dyDescent="0.3">
      <c r="A16" s="156">
        <v>1</v>
      </c>
      <c r="B16" s="158" t="s">
        <v>33</v>
      </c>
      <c r="C16" s="255" t="s">
        <v>1</v>
      </c>
      <c r="D16" s="256" t="s">
        <v>1</v>
      </c>
      <c r="E16" s="20"/>
      <c r="F16" s="20"/>
      <c r="G16" s="20"/>
    </row>
    <row r="17" spans="1:7" x14ac:dyDescent="0.3">
      <c r="A17" s="156"/>
      <c r="B17" s="147" t="s">
        <v>253</v>
      </c>
      <c r="C17" s="272">
        <v>2</v>
      </c>
      <c r="D17" s="265">
        <v>1</v>
      </c>
      <c r="E17" s="20"/>
      <c r="F17" s="20"/>
      <c r="G17" s="20"/>
    </row>
    <row r="18" spans="1:7" x14ac:dyDescent="0.3">
      <c r="A18" s="156">
        <v>2</v>
      </c>
      <c r="B18" s="24" t="s">
        <v>34</v>
      </c>
      <c r="C18" s="273" t="s">
        <v>200</v>
      </c>
      <c r="D18" s="274"/>
      <c r="E18" s="20"/>
      <c r="F18" s="20"/>
      <c r="G18" s="20"/>
    </row>
    <row r="19" spans="1:7" x14ac:dyDescent="0.3">
      <c r="A19" s="259" t="s">
        <v>35</v>
      </c>
      <c r="B19" s="259"/>
      <c r="C19" s="259"/>
      <c r="D19" s="259"/>
      <c r="E19" s="20"/>
      <c r="F19" s="20"/>
      <c r="G19" s="20"/>
    </row>
    <row r="20" spans="1:7" x14ac:dyDescent="0.3">
      <c r="A20" s="156">
        <v>3</v>
      </c>
      <c r="B20" s="275" t="s">
        <v>6</v>
      </c>
      <c r="C20" s="276"/>
      <c r="D20" s="173">
        <v>1664.83</v>
      </c>
      <c r="E20" s="20"/>
      <c r="F20" s="20"/>
      <c r="G20" s="20"/>
    </row>
    <row r="21" spans="1:7" x14ac:dyDescent="0.3">
      <c r="A21" s="156">
        <v>4</v>
      </c>
      <c r="B21" s="275" t="s">
        <v>36</v>
      </c>
      <c r="C21" s="276"/>
      <c r="D21" s="174" t="s">
        <v>201</v>
      </c>
      <c r="E21" s="20"/>
      <c r="F21" s="20"/>
      <c r="G21" s="20"/>
    </row>
    <row r="22" spans="1:7" x14ac:dyDescent="0.3">
      <c r="A22" s="156">
        <v>5</v>
      </c>
      <c r="B22" s="275" t="s">
        <v>5</v>
      </c>
      <c r="C22" s="276"/>
      <c r="D22" s="175">
        <v>44228</v>
      </c>
      <c r="E22" s="20"/>
      <c r="F22" s="20"/>
      <c r="G22" s="20"/>
    </row>
    <row r="23" spans="1:7" x14ac:dyDescent="0.3">
      <c r="A23" s="255"/>
      <c r="B23" s="277"/>
      <c r="C23" s="277"/>
      <c r="D23" s="256"/>
      <c r="E23" s="20"/>
      <c r="F23" s="20"/>
      <c r="G23" s="20"/>
    </row>
    <row r="24" spans="1:7" x14ac:dyDescent="0.3">
      <c r="A24" s="278" t="s">
        <v>37</v>
      </c>
      <c r="B24" s="278"/>
      <c r="C24" s="278"/>
      <c r="D24" s="278"/>
      <c r="E24" s="20"/>
      <c r="F24" s="20"/>
      <c r="G24" s="20"/>
    </row>
    <row r="25" spans="1:7" hidden="1" outlineLevel="1" x14ac:dyDescent="0.3">
      <c r="A25" s="272"/>
      <c r="B25" s="279"/>
      <c r="C25" s="279"/>
      <c r="D25" s="265"/>
      <c r="E25" s="20"/>
      <c r="F25" s="20"/>
      <c r="G25" s="20"/>
    </row>
    <row r="26" spans="1:7" hidden="1" outlineLevel="1" x14ac:dyDescent="0.3">
      <c r="A26" s="157">
        <v>1</v>
      </c>
      <c r="B26" s="280" t="s">
        <v>38</v>
      </c>
      <c r="C26" s="281"/>
      <c r="D26" s="157" t="s">
        <v>39</v>
      </c>
      <c r="E26" s="20"/>
      <c r="F26" s="20"/>
      <c r="G26" s="20"/>
    </row>
    <row r="27" spans="1:7" hidden="1" outlineLevel="1" x14ac:dyDescent="0.3">
      <c r="A27" s="156" t="s">
        <v>40</v>
      </c>
      <c r="B27" s="158" t="s">
        <v>245</v>
      </c>
      <c r="C27" s="167">
        <v>220</v>
      </c>
      <c r="D27" s="25">
        <f>D20/220*C27</f>
        <v>1664.83</v>
      </c>
      <c r="E27" s="20"/>
      <c r="F27" s="20"/>
      <c r="G27" s="20"/>
    </row>
    <row r="28" spans="1:7" hidden="1" outlineLevel="1" x14ac:dyDescent="0.3">
      <c r="A28" s="156" t="s">
        <v>19</v>
      </c>
      <c r="B28" s="158" t="s">
        <v>223</v>
      </c>
      <c r="C28" s="26">
        <v>0.3</v>
      </c>
      <c r="D28" s="25">
        <f>C28*D27</f>
        <v>499.44899999999996</v>
      </c>
      <c r="E28" s="20"/>
      <c r="F28" s="20"/>
      <c r="G28" s="20"/>
    </row>
    <row r="29" spans="1:7" hidden="1" outlineLevel="1" x14ac:dyDescent="0.3">
      <c r="A29" s="156" t="s">
        <v>20</v>
      </c>
      <c r="B29" s="158" t="s">
        <v>41</v>
      </c>
      <c r="C29" s="26">
        <v>0</v>
      </c>
      <c r="D29" s="25">
        <f>C29*D27</f>
        <v>0</v>
      </c>
      <c r="E29" s="20"/>
      <c r="F29" s="20"/>
      <c r="G29" s="20"/>
    </row>
    <row r="30" spans="1:7" hidden="1" outlineLevel="1" x14ac:dyDescent="0.3">
      <c r="A30" s="156" t="s">
        <v>22</v>
      </c>
      <c r="B30" s="158" t="s">
        <v>225</v>
      </c>
      <c r="C30" s="27">
        <v>15</v>
      </c>
      <c r="D30" s="28">
        <f>(D20/C27*C30)*1.5</f>
        <v>170.26670454545453</v>
      </c>
      <c r="E30" s="20"/>
      <c r="F30" s="20"/>
      <c r="G30" s="20"/>
    </row>
    <row r="31" spans="1:7" hidden="1" outlineLevel="1" x14ac:dyDescent="0.3">
      <c r="A31" s="156" t="s">
        <v>25</v>
      </c>
      <c r="B31" s="158" t="s">
        <v>247</v>
      </c>
      <c r="C31" s="185">
        <f>((D20/220*20%))</f>
        <v>1.5134818181818182</v>
      </c>
      <c r="D31" s="28">
        <f>C31*7*C30</f>
        <v>158.91559090909089</v>
      </c>
      <c r="E31" s="186"/>
      <c r="F31" s="20"/>
      <c r="G31" s="20"/>
    </row>
    <row r="32" spans="1:7" hidden="1" outlineLevel="1" x14ac:dyDescent="0.3">
      <c r="A32" s="156" t="s">
        <v>27</v>
      </c>
      <c r="B32" s="158" t="s">
        <v>246</v>
      </c>
      <c r="C32" s="185">
        <f>(D20/220*(7.5/60))</f>
        <v>0.94592613636363632</v>
      </c>
      <c r="D32" s="28">
        <f>C32*7*C30</f>
        <v>99.322244318181816</v>
      </c>
      <c r="E32" s="187"/>
      <c r="F32" s="20"/>
      <c r="G32" s="20"/>
    </row>
    <row r="33" spans="1:7" hidden="1" outlineLevel="1" x14ac:dyDescent="0.3">
      <c r="A33" s="156" t="s">
        <v>29</v>
      </c>
      <c r="B33" s="85" t="s">
        <v>42</v>
      </c>
      <c r="C33" s="86">
        <v>0</v>
      </c>
      <c r="D33" s="87">
        <v>0</v>
      </c>
      <c r="E33" s="20"/>
      <c r="F33" s="20"/>
      <c r="G33" s="20"/>
    </row>
    <row r="34" spans="1:7" collapsed="1" x14ac:dyDescent="0.3">
      <c r="A34" s="280" t="s">
        <v>43</v>
      </c>
      <c r="B34" s="282"/>
      <c r="C34" s="281"/>
      <c r="D34" s="29">
        <f>SUM(D27:D33)</f>
        <v>2592.7835397727272</v>
      </c>
      <c r="E34" s="20"/>
      <c r="F34" s="20"/>
      <c r="G34" s="20"/>
    </row>
    <row r="35" spans="1:7" x14ac:dyDescent="0.3">
      <c r="A35" s="271"/>
      <c r="B35" s="271"/>
      <c r="C35" s="271"/>
      <c r="D35" s="271"/>
      <c r="E35" s="20"/>
      <c r="F35" s="20"/>
      <c r="G35" s="20"/>
    </row>
    <row r="36" spans="1:7" x14ac:dyDescent="0.3">
      <c r="A36" s="286" t="s">
        <v>44</v>
      </c>
      <c r="B36" s="287"/>
      <c r="C36" s="287"/>
      <c r="D36" s="288"/>
      <c r="E36" s="20"/>
      <c r="F36" s="20"/>
      <c r="G36" s="20"/>
    </row>
    <row r="37" spans="1:7" hidden="1" outlineLevel="1" x14ac:dyDescent="0.3">
      <c r="A37" s="289"/>
      <c r="B37" s="290"/>
      <c r="C37" s="290"/>
      <c r="D37" s="291"/>
      <c r="E37" s="20"/>
      <c r="F37" s="20"/>
      <c r="G37" s="20"/>
    </row>
    <row r="38" spans="1:7" hidden="1" outlineLevel="1" x14ac:dyDescent="0.3">
      <c r="A38" s="30" t="s">
        <v>45</v>
      </c>
      <c r="B38" s="31" t="s">
        <v>46</v>
      </c>
      <c r="C38" s="30" t="s">
        <v>47</v>
      </c>
      <c r="D38" s="30" t="s">
        <v>39</v>
      </c>
      <c r="E38" s="20"/>
      <c r="F38" s="20"/>
      <c r="G38" s="20"/>
    </row>
    <row r="39" spans="1:7" hidden="1" outlineLevel="2" x14ac:dyDescent="0.3">
      <c r="A39" s="32" t="s">
        <v>40</v>
      </c>
      <c r="B39" s="33" t="s">
        <v>48</v>
      </c>
      <c r="C39" s="34">
        <f>1/12</f>
        <v>8.3333333333333329E-2</v>
      </c>
      <c r="D39" s="25">
        <f>C39*D34</f>
        <v>216.06529498106059</v>
      </c>
      <c r="E39" s="20"/>
      <c r="F39" s="20"/>
      <c r="G39" s="20"/>
    </row>
    <row r="40" spans="1:7" hidden="1" outlineLevel="2" x14ac:dyDescent="0.3">
      <c r="A40" s="32" t="s">
        <v>19</v>
      </c>
      <c r="B40" s="33" t="s">
        <v>197</v>
      </c>
      <c r="C40" s="34">
        <f>IF(C12&gt;60,(1/C12/3)*5,IF(C12&gt;48,(1/C12/3)*4,IF(C12&gt;36,(1/C12/3)*3,IF(C12&gt;24,(1/C12/3)*2,IF(C12&gt;12,(1/C12/3)*1,0)))))</f>
        <v>1.3888888888888888E-2</v>
      </c>
      <c r="D40" s="25">
        <f>C40*D34</f>
        <v>36.010882496843429</v>
      </c>
      <c r="E40" s="20"/>
      <c r="F40" s="20"/>
      <c r="G40" s="20"/>
    </row>
    <row r="41" spans="1:7" hidden="1" outlineLevel="2" x14ac:dyDescent="0.3">
      <c r="A41" s="35" t="s">
        <v>120</v>
      </c>
      <c r="B41" s="33" t="s">
        <v>121</v>
      </c>
      <c r="C41" s="162">
        <v>0</v>
      </c>
      <c r="D41" s="122">
        <f>-D40*(1/3)*(C41)</f>
        <v>0</v>
      </c>
      <c r="E41" s="20"/>
      <c r="F41" s="20"/>
      <c r="G41" s="20"/>
    </row>
    <row r="42" spans="1:7" hidden="1" outlineLevel="1" collapsed="1" x14ac:dyDescent="0.3">
      <c r="A42" s="292" t="s">
        <v>14</v>
      </c>
      <c r="B42" s="293"/>
      <c r="C42" s="36">
        <f>SUM(C39:C40)</f>
        <v>9.722222222222221E-2</v>
      </c>
      <c r="D42" s="37">
        <f>SUM(D39:D41)</f>
        <v>252.07617747790403</v>
      </c>
      <c r="E42" s="20"/>
      <c r="F42" s="20"/>
      <c r="G42" s="20"/>
    </row>
    <row r="43" spans="1:7" hidden="1" outlineLevel="1" x14ac:dyDescent="0.3">
      <c r="A43" s="289"/>
      <c r="B43" s="290"/>
      <c r="C43" s="290"/>
      <c r="D43" s="291"/>
      <c r="E43" s="20"/>
      <c r="F43" s="20"/>
      <c r="G43" s="20"/>
    </row>
    <row r="44" spans="1:7" hidden="1" outlineLevel="1" x14ac:dyDescent="0.3">
      <c r="A44" s="30" t="s">
        <v>49</v>
      </c>
      <c r="B44" s="38" t="s">
        <v>50</v>
      </c>
      <c r="C44" s="30" t="s">
        <v>47</v>
      </c>
      <c r="D44" s="39" t="s">
        <v>39</v>
      </c>
      <c r="E44" s="20"/>
      <c r="F44" s="20"/>
      <c r="G44" s="20"/>
    </row>
    <row r="45" spans="1:7" hidden="1" outlineLevel="2" x14ac:dyDescent="0.3">
      <c r="A45" s="159" t="s">
        <v>40</v>
      </c>
      <c r="B45" s="40" t="s">
        <v>51</v>
      </c>
      <c r="C45" s="41">
        <v>0.2</v>
      </c>
      <c r="D45" s="25">
        <f>C45*($D$34+$D$42)</f>
        <v>568.97194345012622</v>
      </c>
      <c r="E45" s="20"/>
      <c r="F45" s="20"/>
      <c r="G45" s="20"/>
    </row>
    <row r="46" spans="1:7" hidden="1" outlineLevel="2" x14ac:dyDescent="0.3">
      <c r="A46" s="159" t="s">
        <v>19</v>
      </c>
      <c r="B46" s="40" t="s">
        <v>52</v>
      </c>
      <c r="C46" s="41">
        <v>2.5000000000000001E-2</v>
      </c>
      <c r="D46" s="25">
        <f t="shared" ref="D46:D52" si="0">C46*($D$34+$D$42)</f>
        <v>71.121492931265777</v>
      </c>
      <c r="E46" s="20"/>
      <c r="F46" s="20"/>
      <c r="G46" s="20"/>
    </row>
    <row r="47" spans="1:7" hidden="1" outlineLevel="2" x14ac:dyDescent="0.3">
      <c r="A47" s="159" t="s">
        <v>20</v>
      </c>
      <c r="B47" s="40" t="s">
        <v>114</v>
      </c>
      <c r="C47" s="161">
        <v>0.03</v>
      </c>
      <c r="D47" s="25">
        <f t="shared" si="0"/>
        <v>85.345791517518933</v>
      </c>
      <c r="E47" s="20"/>
      <c r="F47" s="20"/>
      <c r="G47" s="20"/>
    </row>
    <row r="48" spans="1:7" hidden="1" outlineLevel="2" x14ac:dyDescent="0.3">
      <c r="A48" s="159" t="s">
        <v>22</v>
      </c>
      <c r="B48" s="40" t="s">
        <v>232</v>
      </c>
      <c r="C48" s="41">
        <v>1.4999999999999999E-2</v>
      </c>
      <c r="D48" s="25">
        <f t="shared" si="0"/>
        <v>42.672895758759466</v>
      </c>
      <c r="E48" s="20"/>
      <c r="F48" s="20"/>
      <c r="G48" s="20"/>
    </row>
    <row r="49" spans="1:7" hidden="1" outlineLevel="2" x14ac:dyDescent="0.3">
      <c r="A49" s="159" t="s">
        <v>25</v>
      </c>
      <c r="B49" s="40" t="s">
        <v>233</v>
      </c>
      <c r="C49" s="41">
        <v>0.01</v>
      </c>
      <c r="D49" s="25">
        <f>C49*($D$34+$D$42)</f>
        <v>28.448597172506311</v>
      </c>
      <c r="E49" s="20"/>
      <c r="F49" s="20"/>
      <c r="G49" s="20"/>
    </row>
    <row r="50" spans="1:7" hidden="1" outlineLevel="2" x14ac:dyDescent="0.3">
      <c r="A50" s="159" t="s">
        <v>27</v>
      </c>
      <c r="B50" s="40" t="s">
        <v>53</v>
      </c>
      <c r="C50" s="41">
        <v>6.0000000000000001E-3</v>
      </c>
      <c r="D50" s="25">
        <f>C50*($D$34+$D$42)</f>
        <v>17.069158303503787</v>
      </c>
      <c r="E50" s="20"/>
      <c r="F50" s="20"/>
      <c r="G50" s="20"/>
    </row>
    <row r="51" spans="1:7" hidden="1" outlineLevel="2" x14ac:dyDescent="0.3">
      <c r="A51" s="159" t="s">
        <v>29</v>
      </c>
      <c r="B51" s="40" t="s">
        <v>54</v>
      </c>
      <c r="C51" s="41">
        <v>2E-3</v>
      </c>
      <c r="D51" s="25">
        <f t="shared" si="0"/>
        <v>5.6897194345012627</v>
      </c>
      <c r="E51" s="20"/>
      <c r="F51" s="20"/>
      <c r="G51" s="20"/>
    </row>
    <row r="52" spans="1:7" hidden="1" outlineLevel="2" x14ac:dyDescent="0.3">
      <c r="A52" s="159" t="s">
        <v>55</v>
      </c>
      <c r="B52" s="40" t="s">
        <v>56</v>
      </c>
      <c r="C52" s="41">
        <v>0.08</v>
      </c>
      <c r="D52" s="25">
        <f t="shared" si="0"/>
        <v>227.58877738005049</v>
      </c>
      <c r="E52" s="20"/>
      <c r="F52" s="20"/>
      <c r="G52" s="20"/>
    </row>
    <row r="53" spans="1:7" hidden="1" outlineLevel="1" collapsed="1" x14ac:dyDescent="0.3">
      <c r="A53" s="292" t="s">
        <v>14</v>
      </c>
      <c r="B53" s="293"/>
      <c r="C53" s="42">
        <f>SUM(C45:C52)</f>
        <v>0.36800000000000005</v>
      </c>
      <c r="D53" s="43">
        <f>SUM(D45:D52)</f>
        <v>1046.9083759482321</v>
      </c>
      <c r="E53" s="20"/>
      <c r="F53" s="20"/>
      <c r="G53" s="20"/>
    </row>
    <row r="54" spans="1:7" hidden="1" outlineLevel="1" x14ac:dyDescent="0.3">
      <c r="A54" s="289"/>
      <c r="B54" s="290"/>
      <c r="C54" s="290"/>
      <c r="D54" s="291"/>
      <c r="E54" s="20"/>
      <c r="F54" s="20"/>
      <c r="G54" s="20"/>
    </row>
    <row r="55" spans="1:7" hidden="1" outlineLevel="1" x14ac:dyDescent="0.3">
      <c r="A55" s="30" t="s">
        <v>57</v>
      </c>
      <c r="B55" s="38" t="s">
        <v>58</v>
      </c>
      <c r="C55" s="30" t="s">
        <v>59</v>
      </c>
      <c r="D55" s="30" t="s">
        <v>39</v>
      </c>
      <c r="E55" s="20"/>
      <c r="F55" s="20"/>
      <c r="G55" s="20"/>
    </row>
    <row r="56" spans="1:7" hidden="1" outlineLevel="2" x14ac:dyDescent="0.3">
      <c r="A56" s="159" t="s">
        <v>40</v>
      </c>
      <c r="B56" s="40" t="s">
        <v>60</v>
      </c>
      <c r="C56" s="44">
        <v>3.05</v>
      </c>
      <c r="D56" s="45">
        <f>IF((C30*2*C56)-(D27*6%)&lt;0,0,(C30*2*C56)-(D27*6%))</f>
        <v>0</v>
      </c>
      <c r="E56" s="82"/>
      <c r="F56" s="20"/>
      <c r="G56" s="20"/>
    </row>
    <row r="57" spans="1:7" hidden="1" outlineLevel="2" x14ac:dyDescent="0.3">
      <c r="A57" s="159" t="s">
        <v>19</v>
      </c>
      <c r="B57" s="40" t="s">
        <v>61</v>
      </c>
      <c r="C57" s="83">
        <v>27.6</v>
      </c>
      <c r="D57" s="45">
        <f>C57*C30</f>
        <v>414</v>
      </c>
      <c r="E57" s="20"/>
      <c r="F57" s="20"/>
      <c r="G57" s="20"/>
    </row>
    <row r="58" spans="1:7" hidden="1" outlineLevel="2" x14ac:dyDescent="0.3">
      <c r="A58" s="73" t="s">
        <v>97</v>
      </c>
      <c r="B58" s="40" t="s">
        <v>98</v>
      </c>
      <c r="C58" s="84">
        <v>-0.2</v>
      </c>
      <c r="D58" s="122">
        <f>D57*C58</f>
        <v>-82.800000000000011</v>
      </c>
      <c r="E58" s="20"/>
      <c r="F58" s="20"/>
      <c r="G58" s="20"/>
    </row>
    <row r="59" spans="1:7" hidden="1" outlineLevel="2" x14ac:dyDescent="0.3">
      <c r="A59" s="159" t="s">
        <v>20</v>
      </c>
      <c r="B59" s="176" t="s">
        <v>229</v>
      </c>
      <c r="C59" s="169">
        <v>6.0000000000000001E-3</v>
      </c>
      <c r="D59" s="177">
        <f>C59*D27</f>
        <v>9.9889799999999997</v>
      </c>
      <c r="E59" s="20"/>
      <c r="F59" s="20"/>
      <c r="G59" s="20"/>
    </row>
    <row r="60" spans="1:7" hidden="1" outlineLevel="2" x14ac:dyDescent="0.3">
      <c r="A60" s="159" t="s">
        <v>22</v>
      </c>
      <c r="B60" s="178" t="s">
        <v>228</v>
      </c>
      <c r="C60" s="168">
        <v>14</v>
      </c>
      <c r="D60" s="177">
        <f>C60</f>
        <v>14</v>
      </c>
      <c r="E60" s="20"/>
      <c r="F60" s="20"/>
      <c r="G60" s="20"/>
    </row>
    <row r="61" spans="1:7" hidden="1" outlineLevel="2" x14ac:dyDescent="0.3">
      <c r="A61" s="159" t="s">
        <v>25</v>
      </c>
      <c r="B61" s="176" t="s">
        <v>167</v>
      </c>
      <c r="C61" s="169">
        <v>7.0000000000000007E-2</v>
      </c>
      <c r="D61" s="177">
        <f>C61*D34</f>
        <v>181.49484778409092</v>
      </c>
      <c r="E61" s="20"/>
      <c r="F61" s="20"/>
      <c r="G61" s="20"/>
    </row>
    <row r="62" spans="1:7" hidden="1" outlineLevel="2" x14ac:dyDescent="0.3">
      <c r="A62" s="159" t="s">
        <v>27</v>
      </c>
      <c r="B62" s="176" t="s">
        <v>42</v>
      </c>
      <c r="C62" s="84"/>
      <c r="D62" s="177"/>
      <c r="E62" s="20"/>
      <c r="F62" s="20"/>
      <c r="G62" s="20"/>
    </row>
    <row r="63" spans="1:7" hidden="1" outlineLevel="2" x14ac:dyDescent="0.3">
      <c r="A63" s="159" t="s">
        <v>29</v>
      </c>
      <c r="B63" s="176" t="s">
        <v>42</v>
      </c>
      <c r="C63" s="83"/>
      <c r="D63" s="179">
        <f>C63</f>
        <v>0</v>
      </c>
      <c r="E63" s="20"/>
      <c r="F63" s="20"/>
      <c r="G63" s="20"/>
    </row>
    <row r="64" spans="1:7" hidden="1" outlineLevel="1" collapsed="1" x14ac:dyDescent="0.3">
      <c r="A64" s="292" t="s">
        <v>62</v>
      </c>
      <c r="B64" s="294"/>
      <c r="C64" s="293"/>
      <c r="D64" s="37">
        <f>SUM(D56:D63)</f>
        <v>536.68382778409091</v>
      </c>
      <c r="E64" s="20"/>
      <c r="F64" s="20"/>
      <c r="G64" s="20"/>
    </row>
    <row r="65" spans="1:7" hidden="1" outlineLevel="1" x14ac:dyDescent="0.3">
      <c r="A65" s="289"/>
      <c r="B65" s="290"/>
      <c r="C65" s="290"/>
      <c r="D65" s="291"/>
      <c r="E65" s="20"/>
      <c r="F65" s="20"/>
      <c r="G65" s="20"/>
    </row>
    <row r="66" spans="1:7" hidden="1" outlineLevel="1" x14ac:dyDescent="0.3">
      <c r="A66" s="295" t="s">
        <v>63</v>
      </c>
      <c r="B66" s="296"/>
      <c r="C66" s="30" t="s">
        <v>47</v>
      </c>
      <c r="D66" s="30" t="s">
        <v>39</v>
      </c>
      <c r="E66" s="20"/>
      <c r="F66" s="20"/>
      <c r="G66" s="20"/>
    </row>
    <row r="67" spans="1:7" hidden="1" outlineLevel="1" x14ac:dyDescent="0.3">
      <c r="A67" s="159" t="s">
        <v>64</v>
      </c>
      <c r="B67" s="40" t="s">
        <v>46</v>
      </c>
      <c r="C67" s="46">
        <f>C42</f>
        <v>9.722222222222221E-2</v>
      </c>
      <c r="D67" s="25">
        <f>D42</f>
        <v>252.07617747790403</v>
      </c>
      <c r="E67" s="20"/>
      <c r="F67" s="20"/>
      <c r="G67" s="20"/>
    </row>
    <row r="68" spans="1:7" hidden="1" outlineLevel="1" x14ac:dyDescent="0.3">
      <c r="A68" s="159" t="s">
        <v>49</v>
      </c>
      <c r="B68" s="40" t="s">
        <v>50</v>
      </c>
      <c r="C68" s="46">
        <f>C53</f>
        <v>0.36800000000000005</v>
      </c>
      <c r="D68" s="25">
        <f>D53</f>
        <v>1046.9083759482321</v>
      </c>
      <c r="E68" s="20"/>
      <c r="F68" s="20"/>
      <c r="G68" s="20"/>
    </row>
    <row r="69" spans="1:7" hidden="1" outlineLevel="1" x14ac:dyDescent="0.3">
      <c r="A69" s="159" t="s">
        <v>65</v>
      </c>
      <c r="B69" s="40" t="s">
        <v>58</v>
      </c>
      <c r="C69" s="46">
        <f>D64/D34</f>
        <v>0.20699137415502661</v>
      </c>
      <c r="D69" s="25">
        <f>D64</f>
        <v>536.68382778409091</v>
      </c>
      <c r="E69" s="20"/>
      <c r="F69" s="20"/>
      <c r="G69" s="20"/>
    </row>
    <row r="70" spans="1:7" collapsed="1" x14ac:dyDescent="0.3">
      <c r="A70" s="292" t="s">
        <v>14</v>
      </c>
      <c r="B70" s="294"/>
      <c r="C70" s="293"/>
      <c r="D70" s="37">
        <f>SUM(D67:D69)</f>
        <v>1835.6683812102272</v>
      </c>
      <c r="E70" s="20"/>
      <c r="F70" s="20"/>
      <c r="G70" s="20"/>
    </row>
    <row r="71" spans="1:7" x14ac:dyDescent="0.3">
      <c r="A71" s="289"/>
      <c r="B71" s="290"/>
      <c r="C71" s="290"/>
      <c r="D71" s="291"/>
      <c r="E71" s="20"/>
      <c r="F71" s="20"/>
      <c r="G71" s="20"/>
    </row>
    <row r="72" spans="1:7" x14ac:dyDescent="0.3">
      <c r="A72" s="283" t="s">
        <v>126</v>
      </c>
      <c r="B72" s="284"/>
      <c r="C72" s="284"/>
      <c r="D72" s="285"/>
      <c r="E72" s="20"/>
      <c r="F72" s="20"/>
      <c r="G72" s="20"/>
    </row>
    <row r="73" spans="1:7" hidden="1" outlineLevel="1" x14ac:dyDescent="0.3">
      <c r="A73" s="289"/>
      <c r="B73" s="290"/>
      <c r="C73" s="290"/>
      <c r="D73" s="291"/>
      <c r="E73" s="20"/>
      <c r="F73" s="20"/>
      <c r="G73" s="20"/>
    </row>
    <row r="74" spans="1:7" hidden="1" outlineLevel="1" x14ac:dyDescent="0.3">
      <c r="A74" s="157" t="s">
        <v>129</v>
      </c>
      <c r="B74" s="31" t="s">
        <v>130</v>
      </c>
      <c r="C74" s="30" t="s">
        <v>47</v>
      </c>
      <c r="D74" s="30" t="s">
        <v>39</v>
      </c>
      <c r="E74" s="20"/>
      <c r="F74" s="20"/>
      <c r="G74" s="20"/>
    </row>
    <row r="75" spans="1:7" hidden="1" outlineLevel="2" x14ac:dyDescent="0.3">
      <c r="A75" s="47" t="s">
        <v>40</v>
      </c>
      <c r="B75" s="48" t="s">
        <v>131</v>
      </c>
      <c r="C75" s="47" t="s">
        <v>132</v>
      </c>
      <c r="D75" s="49">
        <f>IF(C86&gt;1,SUM(D76:D79)*2,SUM(D76:D79))</f>
        <v>3653.8081816597228</v>
      </c>
      <c r="E75" s="20"/>
      <c r="F75" s="20"/>
      <c r="G75" s="20"/>
    </row>
    <row r="76" spans="1:7" hidden="1" outlineLevel="2" x14ac:dyDescent="0.3">
      <c r="A76" s="50" t="s">
        <v>128</v>
      </c>
      <c r="B76" s="51" t="s">
        <v>133</v>
      </c>
      <c r="C76" s="47">
        <f>(IF(C12&gt;60,45,IF(C12&gt;48,42,IF(C12&gt;36,39,IF(C12&gt;24,36,IF(C12&gt;12,33,30)))))/30)</f>
        <v>1.1000000000000001</v>
      </c>
      <c r="D76" s="49">
        <f>D34*C76</f>
        <v>2852.0618937500003</v>
      </c>
      <c r="E76" s="20"/>
      <c r="F76" s="20"/>
      <c r="G76" s="20"/>
    </row>
    <row r="77" spans="1:7" hidden="1" outlineLevel="2" x14ac:dyDescent="0.3">
      <c r="A77" s="50" t="s">
        <v>142</v>
      </c>
      <c r="B77" s="51" t="s">
        <v>134</v>
      </c>
      <c r="C77" s="34">
        <f>1/12</f>
        <v>8.3333333333333329E-2</v>
      </c>
      <c r="D77" s="49">
        <f>C77*D76</f>
        <v>237.67182447916667</v>
      </c>
      <c r="E77" s="20"/>
      <c r="F77" s="20"/>
      <c r="G77" s="20"/>
    </row>
    <row r="78" spans="1:7" hidden="1" outlineLevel="2" x14ac:dyDescent="0.3">
      <c r="A78" s="50" t="s">
        <v>143</v>
      </c>
      <c r="B78" s="51" t="s">
        <v>135</v>
      </c>
      <c r="C78" s="34">
        <f>(1/12)+(1/12/3)</f>
        <v>0.1111111111111111</v>
      </c>
      <c r="D78" s="52">
        <f>C78*D76</f>
        <v>316.89576597222225</v>
      </c>
      <c r="E78" s="20"/>
      <c r="F78" s="20"/>
      <c r="G78" s="20"/>
    </row>
    <row r="79" spans="1:7" hidden="1" outlineLevel="2" x14ac:dyDescent="0.3">
      <c r="A79" s="50" t="s">
        <v>144</v>
      </c>
      <c r="B79" s="51" t="s">
        <v>136</v>
      </c>
      <c r="C79" s="53">
        <v>0.08</v>
      </c>
      <c r="D79" s="49">
        <f>SUM(D76:D77)*C79</f>
        <v>247.17869745833337</v>
      </c>
      <c r="E79" s="20"/>
      <c r="F79" s="20"/>
      <c r="G79" s="20"/>
    </row>
    <row r="80" spans="1:7" hidden="1" outlineLevel="2" x14ac:dyDescent="0.3">
      <c r="A80" s="47" t="s">
        <v>19</v>
      </c>
      <c r="B80" s="48" t="s">
        <v>137</v>
      </c>
      <c r="C80" s="54">
        <v>0.4</v>
      </c>
      <c r="D80" s="49">
        <f>C80*D81</f>
        <v>2184.8522628484843</v>
      </c>
      <c r="E80" s="20"/>
      <c r="F80" s="20"/>
      <c r="G80" s="20"/>
    </row>
    <row r="81" spans="1:7" hidden="1" outlineLevel="2" x14ac:dyDescent="0.3">
      <c r="A81" s="47" t="s">
        <v>120</v>
      </c>
      <c r="B81" s="48" t="s">
        <v>138</v>
      </c>
      <c r="C81" s="54">
        <f>C52</f>
        <v>0.08</v>
      </c>
      <c r="D81" s="49">
        <f>C81*D82</f>
        <v>5462.1306571212108</v>
      </c>
      <c r="E81" s="20"/>
      <c r="F81" s="20"/>
      <c r="G81" s="20"/>
    </row>
    <row r="82" spans="1:7" hidden="1" outlineLevel="2" x14ac:dyDescent="0.3">
      <c r="A82" s="47" t="s">
        <v>145</v>
      </c>
      <c r="B82" s="55" t="s">
        <v>102</v>
      </c>
      <c r="C82" s="56" t="s">
        <v>132</v>
      </c>
      <c r="D82" s="52">
        <f>SUM(D83:D85)</f>
        <v>68276.633214015135</v>
      </c>
      <c r="E82" s="20"/>
      <c r="F82" s="20"/>
      <c r="G82" s="20"/>
    </row>
    <row r="83" spans="1:7" hidden="1" outlineLevel="2" x14ac:dyDescent="0.3">
      <c r="A83" s="50" t="s">
        <v>146</v>
      </c>
      <c r="B83" s="51" t="s">
        <v>139</v>
      </c>
      <c r="C83" s="57">
        <f>C12-C85</f>
        <v>23</v>
      </c>
      <c r="D83" s="49">
        <f>D34*C83</f>
        <v>59634.021414772724</v>
      </c>
      <c r="E83" s="20"/>
      <c r="F83" s="20"/>
      <c r="G83" s="20"/>
    </row>
    <row r="84" spans="1:7" hidden="1" outlineLevel="2" x14ac:dyDescent="0.3">
      <c r="A84" s="50" t="s">
        <v>147</v>
      </c>
      <c r="B84" s="51" t="s">
        <v>140</v>
      </c>
      <c r="C84" s="58">
        <f>C12/12</f>
        <v>2</v>
      </c>
      <c r="D84" s="49">
        <f>D34*C84</f>
        <v>5185.5670795454544</v>
      </c>
      <c r="E84" s="20"/>
      <c r="F84" s="20"/>
      <c r="G84" s="20"/>
    </row>
    <row r="85" spans="1:7" hidden="1" outlineLevel="2" x14ac:dyDescent="0.3">
      <c r="A85" s="50" t="s">
        <v>148</v>
      </c>
      <c r="B85" s="51" t="s">
        <v>141</v>
      </c>
      <c r="C85" s="56">
        <f>IF(C12&gt;60,5,IF(C12&gt;48,4,IF(C12&gt;36,3,IF(C12&gt;24,2,IF(C12&gt;12,1,0)))))</f>
        <v>1</v>
      </c>
      <c r="D85" s="52">
        <f>D34*C85*1.33333333333333</f>
        <v>3457.0447196969608</v>
      </c>
      <c r="E85" s="20"/>
      <c r="F85" s="20"/>
      <c r="G85" s="20"/>
    </row>
    <row r="86" spans="1:7" hidden="1" outlineLevel="1" collapsed="1" x14ac:dyDescent="0.3">
      <c r="A86" s="292" t="s">
        <v>14</v>
      </c>
      <c r="B86" s="293"/>
      <c r="C86" s="163">
        <v>0.1</v>
      </c>
      <c r="D86" s="37">
        <f>IF(C86&gt;1,D75+D80,(D75+D80)*C86)</f>
        <v>583.86604445082071</v>
      </c>
      <c r="E86" s="20"/>
      <c r="F86" s="20"/>
      <c r="G86" s="20"/>
    </row>
    <row r="87" spans="1:7" hidden="1" outlineLevel="1" x14ac:dyDescent="0.3">
      <c r="A87" s="297"/>
      <c r="B87" s="298"/>
      <c r="C87" s="298"/>
      <c r="D87" s="299"/>
      <c r="E87" s="20"/>
      <c r="F87" s="20"/>
      <c r="G87" s="20"/>
    </row>
    <row r="88" spans="1:7" hidden="1" outlineLevel="1" x14ac:dyDescent="0.3">
      <c r="A88" s="157" t="s">
        <v>155</v>
      </c>
      <c r="B88" s="31" t="s">
        <v>154</v>
      </c>
      <c r="C88" s="30" t="s">
        <v>47</v>
      </c>
      <c r="D88" s="30" t="s">
        <v>39</v>
      </c>
      <c r="E88" s="20"/>
      <c r="F88" s="20"/>
      <c r="G88" s="20"/>
    </row>
    <row r="89" spans="1:7" hidden="1" outlineLevel="2" x14ac:dyDescent="0.3">
      <c r="A89" s="47" t="s">
        <v>40</v>
      </c>
      <c r="B89" s="55" t="s">
        <v>149</v>
      </c>
      <c r="C89" s="59">
        <f>IF(C98&gt;1,(1/30*7)*2,(1/30*7))</f>
        <v>0.23333333333333334</v>
      </c>
      <c r="D89" s="52">
        <f>C89*SUM(D90:D94)</f>
        <v>1089.0310885304712</v>
      </c>
      <c r="E89" s="20"/>
      <c r="F89" s="20"/>
      <c r="G89" s="20"/>
    </row>
    <row r="90" spans="1:7" hidden="1" outlineLevel="2" x14ac:dyDescent="0.3">
      <c r="A90" s="50" t="s">
        <v>128</v>
      </c>
      <c r="B90" s="51" t="s">
        <v>150</v>
      </c>
      <c r="C90" s="47">
        <v>1</v>
      </c>
      <c r="D90" s="49">
        <f>D34</f>
        <v>2592.7835397727272</v>
      </c>
      <c r="E90" s="20"/>
      <c r="F90" s="20"/>
      <c r="G90" s="20"/>
    </row>
    <row r="91" spans="1:7" hidden="1" outlineLevel="2" x14ac:dyDescent="0.3">
      <c r="A91" s="50" t="s">
        <v>142</v>
      </c>
      <c r="B91" s="51" t="s">
        <v>151</v>
      </c>
      <c r="C91" s="34">
        <f>1/12</f>
        <v>8.3333333333333329E-2</v>
      </c>
      <c r="D91" s="49">
        <f>C91*D90</f>
        <v>216.06529498106059</v>
      </c>
      <c r="E91" s="20"/>
      <c r="F91" s="20"/>
      <c r="G91" s="20"/>
    </row>
    <row r="92" spans="1:7" hidden="1" outlineLevel="2" x14ac:dyDescent="0.3">
      <c r="A92" s="50" t="s">
        <v>143</v>
      </c>
      <c r="B92" s="51" t="s">
        <v>152</v>
      </c>
      <c r="C92" s="34">
        <f>(1/12)+(1/12/3)</f>
        <v>0.1111111111111111</v>
      </c>
      <c r="D92" s="49">
        <f>C92*D90</f>
        <v>288.08705997474743</v>
      </c>
      <c r="E92" s="20"/>
      <c r="F92" s="20"/>
      <c r="G92" s="20"/>
    </row>
    <row r="93" spans="1:7" hidden="1" outlineLevel="2" x14ac:dyDescent="0.3">
      <c r="A93" s="50" t="s">
        <v>144</v>
      </c>
      <c r="B93" s="60" t="s">
        <v>66</v>
      </c>
      <c r="C93" s="61">
        <f>C53</f>
        <v>0.36800000000000005</v>
      </c>
      <c r="D93" s="52">
        <f>C93*(D90+D91)</f>
        <v>1033.6563711893941</v>
      </c>
      <c r="E93" s="20"/>
      <c r="F93" s="20"/>
      <c r="G93" s="20"/>
    </row>
    <row r="94" spans="1:7" hidden="1" outlineLevel="2" x14ac:dyDescent="0.3">
      <c r="A94" s="50" t="s">
        <v>156</v>
      </c>
      <c r="B94" s="60" t="s">
        <v>153</v>
      </c>
      <c r="C94" s="62">
        <v>1</v>
      </c>
      <c r="D94" s="52">
        <f>D64</f>
        <v>536.68382778409091</v>
      </c>
      <c r="E94" s="20"/>
      <c r="F94" s="20"/>
      <c r="G94" s="20"/>
    </row>
    <row r="95" spans="1:7" hidden="1" outlineLevel="2" x14ac:dyDescent="0.3">
      <c r="A95" s="47" t="s">
        <v>19</v>
      </c>
      <c r="B95" s="48" t="s">
        <v>220</v>
      </c>
      <c r="C95" s="54">
        <v>0.4</v>
      </c>
      <c r="D95" s="49">
        <f>C95*D96</f>
        <v>2184.8522628484843</v>
      </c>
      <c r="E95" s="63"/>
      <c r="F95" s="20"/>
      <c r="G95" s="20"/>
    </row>
    <row r="96" spans="1:7" hidden="1" outlineLevel="2" x14ac:dyDescent="0.3">
      <c r="A96" s="47" t="s">
        <v>120</v>
      </c>
      <c r="B96" s="48" t="s">
        <v>138</v>
      </c>
      <c r="C96" s="54">
        <f>C52</f>
        <v>0.08</v>
      </c>
      <c r="D96" s="49">
        <f>C96*D97</f>
        <v>5462.1306571212108</v>
      </c>
      <c r="E96" s="20"/>
      <c r="F96" s="20"/>
      <c r="G96" s="20"/>
    </row>
    <row r="97" spans="1:7" hidden="1" outlineLevel="2" x14ac:dyDescent="0.3">
      <c r="A97" s="47" t="s">
        <v>145</v>
      </c>
      <c r="B97" s="55" t="s">
        <v>102</v>
      </c>
      <c r="C97" s="56" t="s">
        <v>132</v>
      </c>
      <c r="D97" s="52">
        <f>D82</f>
        <v>68276.633214015135</v>
      </c>
      <c r="E97" s="20"/>
      <c r="F97" s="20"/>
      <c r="G97" s="20"/>
    </row>
    <row r="98" spans="1:7" hidden="1" outlineLevel="1" collapsed="1" x14ac:dyDescent="0.3">
      <c r="A98" s="292" t="s">
        <v>14</v>
      </c>
      <c r="B98" s="293"/>
      <c r="C98" s="163">
        <v>0.9</v>
      </c>
      <c r="D98" s="37">
        <f>IF(C98&gt;1,D89+D95,(D89+D95)*C98)</f>
        <v>2946.4950162410601</v>
      </c>
      <c r="E98" s="20"/>
      <c r="F98" s="20"/>
      <c r="G98" s="20"/>
    </row>
    <row r="99" spans="1:7" hidden="1" outlineLevel="1" x14ac:dyDescent="0.3">
      <c r="A99" s="297"/>
      <c r="B99" s="298"/>
      <c r="C99" s="298"/>
      <c r="D99" s="299"/>
      <c r="E99" s="20"/>
      <c r="F99" s="20"/>
      <c r="G99" s="20"/>
    </row>
    <row r="100" spans="1:7" hidden="1" outlineLevel="1" x14ac:dyDescent="0.3">
      <c r="A100" s="157" t="s">
        <v>160</v>
      </c>
      <c r="B100" s="31" t="s">
        <v>165</v>
      </c>
      <c r="C100" s="30" t="s">
        <v>47</v>
      </c>
      <c r="D100" s="30" t="s">
        <v>39</v>
      </c>
      <c r="E100" s="20"/>
      <c r="F100" s="20"/>
      <c r="G100" s="20"/>
    </row>
    <row r="101" spans="1:7" hidden="1" outlineLevel="2" x14ac:dyDescent="0.3">
      <c r="A101" s="159" t="s">
        <v>40</v>
      </c>
      <c r="B101" s="40" t="s">
        <v>162</v>
      </c>
      <c r="C101" s="46">
        <f>IF(C12&gt;60,(D34/12*(C12-60))/C12/D34,IF(C12&gt;48,(D34/12*(C12-48))/C12/D34,IF(C12&gt;36,(D34/12*(C12-36))/C12/D34,IF(C12&gt;24,(D34/12*(C12-24))/C12/D34,IF(C12&gt;12,((D34/12*(C12-12))/C12/D34),1/12)))))</f>
        <v>4.1666666666666664E-2</v>
      </c>
      <c r="D101" s="64">
        <f>C101*D34</f>
        <v>108.03264749053029</v>
      </c>
      <c r="E101" s="20"/>
      <c r="F101" s="20"/>
      <c r="G101" s="20"/>
    </row>
    <row r="102" spans="1:7" hidden="1" outlineLevel="2" x14ac:dyDescent="0.3">
      <c r="A102" s="159" t="s">
        <v>19</v>
      </c>
      <c r="B102" s="65" t="s">
        <v>163</v>
      </c>
      <c r="C102" s="46">
        <f>C101/3</f>
        <v>1.3888888888888888E-2</v>
      </c>
      <c r="D102" s="66">
        <f>C102*D34</f>
        <v>36.010882496843429</v>
      </c>
      <c r="E102" s="20"/>
      <c r="F102" s="20"/>
      <c r="G102" s="20"/>
    </row>
    <row r="103" spans="1:7" hidden="1" outlineLevel="2" x14ac:dyDescent="0.3">
      <c r="A103" s="159" t="s">
        <v>20</v>
      </c>
      <c r="B103" s="67" t="s">
        <v>166</v>
      </c>
      <c r="C103" s="71">
        <f>C41</f>
        <v>0</v>
      </c>
      <c r="D103" s="25">
        <f>-D41*4</f>
        <v>0</v>
      </c>
      <c r="E103" s="20"/>
      <c r="F103" s="20"/>
      <c r="G103" s="20"/>
    </row>
    <row r="104" spans="1:7" ht="15.75" hidden="1" customHeight="1" outlineLevel="1" collapsed="1" x14ac:dyDescent="0.3">
      <c r="A104" s="292" t="s">
        <v>14</v>
      </c>
      <c r="B104" s="293"/>
      <c r="C104" s="36">
        <f>C101+C102+(D103/D34)</f>
        <v>5.5555555555555552E-2</v>
      </c>
      <c r="D104" s="37">
        <f>SUM(D101:D103)</f>
        <v>144.04352998737372</v>
      </c>
      <c r="E104" s="20"/>
      <c r="F104" s="20"/>
      <c r="G104" s="20"/>
    </row>
    <row r="105" spans="1:7" hidden="1" outlineLevel="1" x14ac:dyDescent="0.3">
      <c r="A105" s="297"/>
      <c r="B105" s="298"/>
      <c r="C105" s="298"/>
      <c r="D105" s="299"/>
      <c r="E105" s="63"/>
      <c r="F105" s="20"/>
      <c r="G105" s="20"/>
    </row>
    <row r="106" spans="1:7" hidden="1" outlineLevel="1" x14ac:dyDescent="0.3">
      <c r="A106" s="295" t="s">
        <v>161</v>
      </c>
      <c r="B106" s="296"/>
      <c r="C106" s="30" t="s">
        <v>47</v>
      </c>
      <c r="D106" s="30" t="s">
        <v>39</v>
      </c>
      <c r="E106" s="63"/>
      <c r="F106" s="20"/>
      <c r="G106" s="20"/>
    </row>
    <row r="107" spans="1:7" hidden="1" outlineLevel="1" x14ac:dyDescent="0.3">
      <c r="A107" s="159" t="s">
        <v>129</v>
      </c>
      <c r="B107" s="40" t="s">
        <v>130</v>
      </c>
      <c r="C107" s="46">
        <f>C86</f>
        <v>0.1</v>
      </c>
      <c r="D107" s="25">
        <f>D86</f>
        <v>583.86604445082071</v>
      </c>
      <c r="E107" s="63"/>
      <c r="F107" s="20"/>
      <c r="G107" s="20"/>
    </row>
    <row r="108" spans="1:7" hidden="1" outlineLevel="1" x14ac:dyDescent="0.3">
      <c r="A108" s="32" t="s">
        <v>155</v>
      </c>
      <c r="B108" s="40" t="s">
        <v>154</v>
      </c>
      <c r="C108" s="68">
        <f>C98</f>
        <v>0.9</v>
      </c>
      <c r="D108" s="25">
        <f>D98</f>
        <v>2946.4950162410601</v>
      </c>
      <c r="E108" s="63"/>
      <c r="F108" s="20"/>
      <c r="G108" s="20"/>
    </row>
    <row r="109" spans="1:7" hidden="1" outlineLevel="1" x14ac:dyDescent="0.3">
      <c r="A109" s="300" t="s">
        <v>164</v>
      </c>
      <c r="B109" s="300"/>
      <c r="C109" s="300"/>
      <c r="D109" s="69">
        <f>D107+D108</f>
        <v>3530.361060691881</v>
      </c>
      <c r="E109" s="63"/>
      <c r="F109" s="20"/>
      <c r="G109" s="20"/>
    </row>
    <row r="110" spans="1:7" hidden="1" outlineLevel="1" x14ac:dyDescent="0.3">
      <c r="A110" s="301" t="s">
        <v>195</v>
      </c>
      <c r="B110" s="302"/>
      <c r="C110" s="164">
        <v>0.71030000000000004</v>
      </c>
      <c r="D110" s="123">
        <f>C110*D109</f>
        <v>2507.615461409443</v>
      </c>
      <c r="E110" s="63"/>
      <c r="F110" s="20"/>
      <c r="G110" s="20"/>
    </row>
    <row r="111" spans="1:7" hidden="1" outlineLevel="1" x14ac:dyDescent="0.3">
      <c r="A111" s="303" t="s">
        <v>194</v>
      </c>
      <c r="B111" s="304"/>
      <c r="C111" s="172">
        <f>1/C12</f>
        <v>4.1666666666666664E-2</v>
      </c>
      <c r="D111" s="132">
        <f>D110*C111</f>
        <v>104.48397755872679</v>
      </c>
      <c r="E111" s="63"/>
      <c r="F111" s="20"/>
      <c r="G111" s="20"/>
    </row>
    <row r="112" spans="1:7" hidden="1" outlineLevel="1" x14ac:dyDescent="0.3">
      <c r="A112" s="32" t="s">
        <v>160</v>
      </c>
      <c r="B112" s="40" t="s">
        <v>159</v>
      </c>
      <c r="C112" s="68"/>
      <c r="D112" s="122">
        <f>D104</f>
        <v>144.04352998737372</v>
      </c>
      <c r="E112" s="63"/>
      <c r="F112" s="20"/>
      <c r="G112" s="20"/>
    </row>
    <row r="113" spans="1:7" collapsed="1" x14ac:dyDescent="0.3">
      <c r="A113" s="292" t="s">
        <v>67</v>
      </c>
      <c r="B113" s="293"/>
      <c r="C113" s="36"/>
      <c r="D113" s="70">
        <f>D111+D112</f>
        <v>248.52750754610051</v>
      </c>
      <c r="E113" s="20"/>
      <c r="F113" s="20"/>
      <c r="G113" s="20"/>
    </row>
    <row r="114" spans="1:7" x14ac:dyDescent="0.3">
      <c r="A114" s="289"/>
      <c r="B114" s="290"/>
      <c r="C114" s="290"/>
      <c r="D114" s="291"/>
      <c r="E114" s="20"/>
      <c r="F114" s="20"/>
      <c r="G114" s="20"/>
    </row>
    <row r="115" spans="1:7" x14ac:dyDescent="0.3">
      <c r="A115" s="286" t="s">
        <v>68</v>
      </c>
      <c r="B115" s="287"/>
      <c r="C115" s="287"/>
      <c r="D115" s="288"/>
      <c r="E115" s="20"/>
      <c r="F115" s="20"/>
      <c r="G115" s="20"/>
    </row>
    <row r="116" spans="1:7" hidden="1" outlineLevel="1" x14ac:dyDescent="0.3">
      <c r="A116" s="297"/>
      <c r="B116" s="298"/>
      <c r="C116" s="298"/>
      <c r="D116" s="299"/>
      <c r="E116" s="20"/>
      <c r="F116" s="20"/>
      <c r="G116" s="20"/>
    </row>
    <row r="117" spans="1:7" hidden="1" outlineLevel="1" x14ac:dyDescent="0.3">
      <c r="A117" s="30" t="s">
        <v>69</v>
      </c>
      <c r="B117" s="38" t="s">
        <v>124</v>
      </c>
      <c r="C117" s="36" t="s">
        <v>47</v>
      </c>
      <c r="D117" s="30" t="s">
        <v>39</v>
      </c>
      <c r="E117" s="20"/>
      <c r="F117" s="20"/>
      <c r="G117" s="20"/>
    </row>
    <row r="118" spans="1:7" hidden="1" outlineLevel="2" x14ac:dyDescent="0.3">
      <c r="A118" s="159" t="s">
        <v>40</v>
      </c>
      <c r="B118" s="40" t="s">
        <v>70</v>
      </c>
      <c r="C118" s="71">
        <f>IF(C12&gt;60,5/C12,IF(C12&gt;48,4/C12,IF(C12&gt;36,3/C12,IF(C12&gt;24,2/C12,IF(C12&gt;12,1/C12,0)))))</f>
        <v>4.1666666666666664E-2</v>
      </c>
      <c r="D118" s="64">
        <f>C118*(D34+D70+D113)</f>
        <v>194.87414285537727</v>
      </c>
      <c r="E118" s="133"/>
      <c r="F118" s="20"/>
      <c r="G118" s="72"/>
    </row>
    <row r="119" spans="1:7" hidden="1" outlineLevel="2" x14ac:dyDescent="0.3">
      <c r="A119" s="73" t="s">
        <v>128</v>
      </c>
      <c r="B119" s="40" t="s">
        <v>127</v>
      </c>
      <c r="C119" s="71">
        <f>C41</f>
        <v>0</v>
      </c>
      <c r="D119" s="122">
        <f>-D118*(1/3)*(C119)</f>
        <v>0</v>
      </c>
      <c r="E119" s="20"/>
      <c r="F119" s="20"/>
      <c r="G119" s="20"/>
    </row>
    <row r="120" spans="1:7" hidden="1" outlineLevel="1" collapsed="1" x14ac:dyDescent="0.3">
      <c r="A120" s="292" t="s">
        <v>158</v>
      </c>
      <c r="B120" s="293"/>
      <c r="C120" s="36">
        <f>C118+(D119/D34)</f>
        <v>4.1666666666666664E-2</v>
      </c>
      <c r="D120" s="37">
        <f>SUM(D118:D119)</f>
        <v>194.87414285537727</v>
      </c>
      <c r="E120" s="20"/>
      <c r="F120" s="20"/>
      <c r="G120" s="20"/>
    </row>
    <row r="121" spans="1:7" hidden="1" outlineLevel="1" x14ac:dyDescent="0.3">
      <c r="A121" s="297"/>
      <c r="B121" s="298"/>
      <c r="C121" s="298"/>
      <c r="D121" s="299"/>
      <c r="E121" s="20"/>
      <c r="F121" s="20"/>
      <c r="G121" s="20"/>
    </row>
    <row r="122" spans="1:7" hidden="1" outlineLevel="1" x14ac:dyDescent="0.3">
      <c r="A122" s="30" t="s">
        <v>123</v>
      </c>
      <c r="B122" s="38" t="s">
        <v>125</v>
      </c>
      <c r="C122" s="36" t="s">
        <v>47</v>
      </c>
      <c r="D122" s="30" t="s">
        <v>39</v>
      </c>
      <c r="E122" s="20"/>
      <c r="F122" s="20"/>
      <c r="G122" s="20"/>
    </row>
    <row r="123" spans="1:7" hidden="1" outlineLevel="2" x14ac:dyDescent="0.3">
      <c r="A123" s="159" t="s">
        <v>40</v>
      </c>
      <c r="B123" s="149" t="s">
        <v>122</v>
      </c>
      <c r="C123" s="165">
        <v>1.35E-2</v>
      </c>
      <c r="D123" s="64">
        <f t="shared" ref="D123:D128" si="1">C123*($D$64+$D$113+$D$34)</f>
        <v>45.602930813889401</v>
      </c>
      <c r="E123" s="20"/>
      <c r="F123" s="20"/>
      <c r="G123" s="72"/>
    </row>
    <row r="124" spans="1:7" hidden="1" outlineLevel="2" x14ac:dyDescent="0.3">
      <c r="A124" s="159" t="s">
        <v>19</v>
      </c>
      <c r="B124" s="40" t="s">
        <v>104</v>
      </c>
      <c r="C124" s="180">
        <v>1.66E-2</v>
      </c>
      <c r="D124" s="64">
        <f t="shared" si="1"/>
        <v>56.074714926708452</v>
      </c>
      <c r="E124" s="20"/>
      <c r="F124" s="20"/>
      <c r="G124" s="72"/>
    </row>
    <row r="125" spans="1:7" hidden="1" outlineLevel="2" x14ac:dyDescent="0.3">
      <c r="A125" s="159" t="s">
        <v>20</v>
      </c>
      <c r="B125" s="40" t="s">
        <v>105</v>
      </c>
      <c r="C125" s="180">
        <v>2.7000000000000001E-3</v>
      </c>
      <c r="D125" s="64">
        <f t="shared" si="1"/>
        <v>9.1205861627778813</v>
      </c>
      <c r="E125" s="20"/>
      <c r="F125" s="20"/>
      <c r="G125" s="72"/>
    </row>
    <row r="126" spans="1:7" hidden="1" outlineLevel="2" x14ac:dyDescent="0.3">
      <c r="A126" s="159" t="s">
        <v>22</v>
      </c>
      <c r="B126" s="40" t="s">
        <v>103</v>
      </c>
      <c r="C126" s="180">
        <v>2.8E-3</v>
      </c>
      <c r="D126" s="64">
        <f t="shared" si="1"/>
        <v>9.4583856502881716</v>
      </c>
      <c r="E126" s="20"/>
      <c r="F126" s="20"/>
      <c r="G126" s="20"/>
    </row>
    <row r="127" spans="1:7" hidden="1" outlineLevel="2" x14ac:dyDescent="0.3">
      <c r="A127" s="159" t="s">
        <v>25</v>
      </c>
      <c r="B127" s="40" t="s">
        <v>71</v>
      </c>
      <c r="C127" s="180">
        <v>2.0000000000000001E-4</v>
      </c>
      <c r="D127" s="64">
        <f t="shared" si="1"/>
        <v>0.67559897502058375</v>
      </c>
      <c r="E127" s="20"/>
      <c r="F127" s="20"/>
      <c r="G127" s="20"/>
    </row>
    <row r="128" spans="1:7" hidden="1" outlineLevel="2" x14ac:dyDescent="0.3">
      <c r="A128" s="159" t="s">
        <v>27</v>
      </c>
      <c r="B128" s="40" t="s">
        <v>72</v>
      </c>
      <c r="C128" s="180">
        <v>2.9999999999999997E-4</v>
      </c>
      <c r="D128" s="64">
        <f t="shared" si="1"/>
        <v>1.0133984625308756</v>
      </c>
      <c r="E128" s="20"/>
      <c r="F128" s="20"/>
      <c r="G128" s="20"/>
    </row>
    <row r="129" spans="1:7" hidden="1" outlineLevel="1" collapsed="1" x14ac:dyDescent="0.3">
      <c r="A129" s="292" t="s">
        <v>158</v>
      </c>
      <c r="B129" s="293"/>
      <c r="C129" s="36">
        <f>SUM(C123:C128)</f>
        <v>3.61E-2</v>
      </c>
      <c r="D129" s="37">
        <f>SUM(D123:D128)</f>
        <v>121.94561499121536</v>
      </c>
      <c r="E129" s="20"/>
      <c r="F129" s="20"/>
      <c r="G129" s="20"/>
    </row>
    <row r="130" spans="1:7" hidden="1" outlineLevel="1" x14ac:dyDescent="0.3">
      <c r="A130" s="297"/>
      <c r="B130" s="298"/>
      <c r="C130" s="298"/>
      <c r="D130" s="299"/>
      <c r="E130" s="20"/>
      <c r="F130" s="20"/>
      <c r="G130" s="20"/>
    </row>
    <row r="131" spans="1:7" hidden="1" outlineLevel="1" x14ac:dyDescent="0.3">
      <c r="A131" s="295" t="s">
        <v>157</v>
      </c>
      <c r="B131" s="296"/>
      <c r="C131" s="30" t="s">
        <v>47</v>
      </c>
      <c r="D131" s="30" t="s">
        <v>39</v>
      </c>
      <c r="E131" s="20"/>
      <c r="F131" s="20"/>
      <c r="G131" s="20"/>
    </row>
    <row r="132" spans="1:7" hidden="1" outlineLevel="1" x14ac:dyDescent="0.3">
      <c r="A132" s="159" t="s">
        <v>69</v>
      </c>
      <c r="B132" s="40" t="s">
        <v>124</v>
      </c>
      <c r="C132" s="46"/>
      <c r="D132" s="98">
        <f>D120</f>
        <v>194.87414285537727</v>
      </c>
      <c r="E132" s="20"/>
      <c r="F132" s="20"/>
      <c r="G132" s="20"/>
    </row>
    <row r="133" spans="1:7" hidden="1" outlineLevel="1" x14ac:dyDescent="0.3">
      <c r="A133" s="159" t="s">
        <v>123</v>
      </c>
      <c r="B133" s="40" t="s">
        <v>125</v>
      </c>
      <c r="C133" s="46"/>
      <c r="D133" s="98">
        <f>D129</f>
        <v>121.94561499121536</v>
      </c>
      <c r="E133" s="20"/>
      <c r="F133" s="20"/>
      <c r="G133" s="20"/>
    </row>
    <row r="134" spans="1:7" collapsed="1" x14ac:dyDescent="0.3">
      <c r="A134" s="292" t="s">
        <v>14</v>
      </c>
      <c r="B134" s="294"/>
      <c r="C134" s="293"/>
      <c r="D134" s="99">
        <f>SUM(D132:D133)</f>
        <v>316.81975784659267</v>
      </c>
      <c r="E134" s="20"/>
      <c r="F134" s="20"/>
      <c r="G134" s="20"/>
    </row>
    <row r="135" spans="1:7" x14ac:dyDescent="0.3">
      <c r="A135" s="297"/>
      <c r="B135" s="298"/>
      <c r="C135" s="298"/>
      <c r="D135" s="299"/>
      <c r="E135" s="20"/>
      <c r="F135" s="20"/>
      <c r="G135" s="20"/>
    </row>
    <row r="136" spans="1:7" x14ac:dyDescent="0.3">
      <c r="A136" s="286" t="s">
        <v>73</v>
      </c>
      <c r="B136" s="287"/>
      <c r="C136" s="287"/>
      <c r="D136" s="288"/>
      <c r="E136" s="20"/>
      <c r="F136" s="20"/>
      <c r="G136" s="20"/>
    </row>
    <row r="137" spans="1:7" hidden="1" outlineLevel="1" x14ac:dyDescent="0.3">
      <c r="A137" s="297"/>
      <c r="B137" s="298"/>
      <c r="C137" s="298"/>
      <c r="D137" s="299"/>
      <c r="E137" s="20"/>
      <c r="F137" s="20"/>
      <c r="G137" s="20"/>
    </row>
    <row r="138" spans="1:7" hidden="1" outlineLevel="1" x14ac:dyDescent="0.3">
      <c r="A138" s="157">
        <v>5</v>
      </c>
      <c r="B138" s="292" t="s">
        <v>248</v>
      </c>
      <c r="C138" s="293"/>
      <c r="D138" s="30" t="s">
        <v>39</v>
      </c>
      <c r="E138" s="20"/>
      <c r="F138" s="20"/>
      <c r="G138" s="20"/>
    </row>
    <row r="139" spans="1:7" hidden="1" outlineLevel="1" x14ac:dyDescent="0.3">
      <c r="A139" s="159" t="s">
        <v>40</v>
      </c>
      <c r="B139" s="308" t="s">
        <v>249</v>
      </c>
      <c r="C139" s="309"/>
      <c r="D139" s="95">
        <f>INSUMOS!H17</f>
        <v>53.838916666666663</v>
      </c>
      <c r="E139" s="20"/>
      <c r="F139" s="20"/>
      <c r="G139" s="20"/>
    </row>
    <row r="140" spans="1:7" hidden="1" outlineLevel="1" x14ac:dyDescent="0.3">
      <c r="A140" s="159" t="s">
        <v>19</v>
      </c>
      <c r="B140" s="308" t="s">
        <v>269</v>
      </c>
      <c r="C140" s="309"/>
      <c r="D140" s="74">
        <f>INSUMOS!H39</f>
        <v>23.641805555555553</v>
      </c>
      <c r="E140" s="20"/>
      <c r="F140" s="20"/>
      <c r="G140" s="20"/>
    </row>
    <row r="141" spans="1:7" hidden="1" outlineLevel="1" x14ac:dyDescent="0.3">
      <c r="A141" s="159" t="s">
        <v>20</v>
      </c>
      <c r="B141" s="310" t="s">
        <v>268</v>
      </c>
      <c r="C141" s="311"/>
      <c r="D141" s="181">
        <f>INSUMOS!H50</f>
        <v>62.5</v>
      </c>
      <c r="E141" s="20"/>
      <c r="F141" s="20"/>
      <c r="G141" s="20"/>
    </row>
    <row r="142" spans="1:7" hidden="1" outlineLevel="1" x14ac:dyDescent="0.3">
      <c r="A142" s="159" t="s">
        <v>25</v>
      </c>
      <c r="B142" s="312" t="s">
        <v>42</v>
      </c>
      <c r="C142" s="313"/>
      <c r="D142" s="96">
        <v>0</v>
      </c>
      <c r="E142" s="20"/>
      <c r="F142" s="20"/>
      <c r="G142" s="20"/>
    </row>
    <row r="143" spans="1:7" collapsed="1" x14ac:dyDescent="0.3">
      <c r="A143" s="292" t="s">
        <v>74</v>
      </c>
      <c r="B143" s="294"/>
      <c r="C143" s="293"/>
      <c r="D143" s="97">
        <f>SUM(D139:D142)</f>
        <v>139.9807222222222</v>
      </c>
      <c r="E143" s="20"/>
      <c r="F143" s="20"/>
      <c r="G143" s="20"/>
    </row>
    <row r="144" spans="1:7" x14ac:dyDescent="0.3">
      <c r="A144" s="289"/>
      <c r="B144" s="290"/>
      <c r="C144" s="290"/>
      <c r="D144" s="291"/>
      <c r="E144" s="20"/>
      <c r="F144" s="20"/>
      <c r="G144" s="20"/>
    </row>
    <row r="145" spans="1:7" x14ac:dyDescent="0.3">
      <c r="A145" s="314" t="s">
        <v>75</v>
      </c>
      <c r="B145" s="314"/>
      <c r="C145" s="314"/>
      <c r="D145" s="160">
        <f>D34+D70+D113+D134+D143</f>
        <v>5133.7799085978695</v>
      </c>
      <c r="E145" s="20"/>
      <c r="F145" s="20"/>
      <c r="G145" s="20"/>
    </row>
    <row r="146" spans="1:7" x14ac:dyDescent="0.3">
      <c r="A146" s="271"/>
      <c r="B146" s="271"/>
      <c r="C146" s="271"/>
      <c r="D146" s="271"/>
      <c r="E146" s="20"/>
      <c r="F146" s="20"/>
      <c r="G146" s="20"/>
    </row>
    <row r="147" spans="1:7" x14ac:dyDescent="0.3">
      <c r="A147" s="315" t="s">
        <v>76</v>
      </c>
      <c r="B147" s="315"/>
      <c r="C147" s="315"/>
      <c r="D147" s="315"/>
      <c r="E147" s="20"/>
      <c r="F147" s="20"/>
      <c r="G147" s="20"/>
    </row>
    <row r="148" spans="1:7" hidden="1" outlineLevel="1" x14ac:dyDescent="0.3">
      <c r="A148" s="316"/>
      <c r="B148" s="317"/>
      <c r="C148" s="317"/>
      <c r="D148" s="318"/>
      <c r="E148" s="20"/>
      <c r="F148" s="20"/>
      <c r="G148" s="20"/>
    </row>
    <row r="149" spans="1:7" hidden="1" outlineLevel="1" x14ac:dyDescent="0.3">
      <c r="A149" s="157">
        <v>6</v>
      </c>
      <c r="B149" s="38" t="s">
        <v>77</v>
      </c>
      <c r="C149" s="30" t="s">
        <v>47</v>
      </c>
      <c r="D149" s="30" t="s">
        <v>39</v>
      </c>
      <c r="E149" s="20"/>
      <c r="F149" s="20"/>
      <c r="G149" s="20"/>
    </row>
    <row r="150" spans="1:7" hidden="1" outlineLevel="1" x14ac:dyDescent="0.3">
      <c r="A150" s="159" t="s">
        <v>40</v>
      </c>
      <c r="B150" s="40" t="s">
        <v>78</v>
      </c>
      <c r="C150" s="166">
        <v>5.6599999999999998E-2</v>
      </c>
      <c r="D150" s="28">
        <f>C150*D145</f>
        <v>290.57194282663943</v>
      </c>
      <c r="E150" s="20"/>
      <c r="F150" s="20"/>
      <c r="G150" s="20"/>
    </row>
    <row r="151" spans="1:7" hidden="1" outlineLevel="1" x14ac:dyDescent="0.3">
      <c r="A151" s="305" t="s">
        <v>4</v>
      </c>
      <c r="B151" s="306"/>
      <c r="C151" s="307"/>
      <c r="D151" s="28">
        <f>D145+D150</f>
        <v>5424.3518514245088</v>
      </c>
      <c r="E151" s="20"/>
      <c r="F151" s="20"/>
      <c r="G151" s="20"/>
    </row>
    <row r="152" spans="1:7" hidden="1" outlineLevel="1" x14ac:dyDescent="0.3">
      <c r="A152" s="159" t="s">
        <v>19</v>
      </c>
      <c r="B152" s="40" t="s">
        <v>79</v>
      </c>
      <c r="C152" s="166">
        <v>5.62E-2</v>
      </c>
      <c r="D152" s="28">
        <f>C152*D151</f>
        <v>304.84857405005738</v>
      </c>
      <c r="E152" s="20"/>
      <c r="F152" s="20"/>
      <c r="G152" s="20"/>
    </row>
    <row r="153" spans="1:7" hidden="1" outlineLevel="1" x14ac:dyDescent="0.3">
      <c r="A153" s="305" t="s">
        <v>4</v>
      </c>
      <c r="B153" s="306"/>
      <c r="C153" s="306"/>
      <c r="D153" s="28">
        <f>D152+D151</f>
        <v>5729.2004254745661</v>
      </c>
      <c r="E153" s="20"/>
      <c r="F153" s="20"/>
      <c r="G153" s="20"/>
    </row>
    <row r="154" spans="1:7" hidden="1" outlineLevel="1" x14ac:dyDescent="0.3">
      <c r="A154" s="159" t="s">
        <v>20</v>
      </c>
      <c r="B154" s="310" t="s">
        <v>80</v>
      </c>
      <c r="C154" s="319"/>
      <c r="D154" s="311"/>
      <c r="E154" s="20"/>
      <c r="F154" s="20"/>
      <c r="G154" s="20"/>
    </row>
    <row r="155" spans="1:7" hidden="1" outlineLevel="1" x14ac:dyDescent="0.3">
      <c r="A155" s="88"/>
      <c r="B155" s="158" t="s">
        <v>81</v>
      </c>
      <c r="C155" s="166">
        <v>6.4999999999999997E-3</v>
      </c>
      <c r="D155" s="28">
        <f>(D153/(1-C158)*C155)</f>
        <v>40.324637537178859</v>
      </c>
      <c r="E155" s="20"/>
      <c r="F155" s="20"/>
      <c r="G155" s="20"/>
    </row>
    <row r="156" spans="1:7" hidden="1" outlineLevel="1" x14ac:dyDescent="0.3">
      <c r="A156" s="88"/>
      <c r="B156" s="158" t="s">
        <v>82</v>
      </c>
      <c r="C156" s="166">
        <v>0.03</v>
      </c>
      <c r="D156" s="28">
        <f>(D153/(1-C158)*C156)</f>
        <v>186.11371171005629</v>
      </c>
      <c r="E156" s="20"/>
      <c r="F156" s="20"/>
      <c r="G156" s="20"/>
    </row>
    <row r="157" spans="1:7" hidden="1" outlineLevel="1" x14ac:dyDescent="0.3">
      <c r="A157" s="88"/>
      <c r="B157" s="158" t="s">
        <v>261</v>
      </c>
      <c r="C157" s="75">
        <v>0.04</v>
      </c>
      <c r="D157" s="28">
        <f>(D153/(1-C158)*C157)</f>
        <v>248.15161561340841</v>
      </c>
      <c r="E157" s="20"/>
      <c r="F157" s="20"/>
      <c r="G157" s="20"/>
    </row>
    <row r="158" spans="1:7" hidden="1" outlineLevel="1" x14ac:dyDescent="0.3">
      <c r="A158" s="305" t="s">
        <v>83</v>
      </c>
      <c r="B158" s="307"/>
      <c r="C158" s="76">
        <f>SUM(C155:C157)</f>
        <v>7.6499999999999999E-2</v>
      </c>
      <c r="D158" s="28">
        <f>SUM(D155:D157)</f>
        <v>474.58996486064359</v>
      </c>
      <c r="E158" s="20"/>
      <c r="F158" s="20"/>
      <c r="G158" s="20"/>
    </row>
    <row r="159" spans="1:7" collapsed="1" x14ac:dyDescent="0.3">
      <c r="A159" s="292" t="s">
        <v>84</v>
      </c>
      <c r="B159" s="293"/>
      <c r="C159" s="77">
        <f>SUM(C150+C152+C158)</f>
        <v>0.1893</v>
      </c>
      <c r="D159" s="29">
        <f>SUM(D158+D150+D152)</f>
        <v>1070.0104817373403</v>
      </c>
      <c r="E159" s="20"/>
      <c r="F159" s="20"/>
      <c r="G159" s="20"/>
    </row>
    <row r="160" spans="1:7" x14ac:dyDescent="0.3">
      <c r="A160" s="289"/>
      <c r="B160" s="290"/>
      <c r="C160" s="290"/>
      <c r="D160" s="291"/>
      <c r="E160" s="20"/>
      <c r="F160" s="20"/>
      <c r="G160" s="20"/>
    </row>
    <row r="161" spans="1:7" x14ac:dyDescent="0.3">
      <c r="A161" s="280" t="s">
        <v>85</v>
      </c>
      <c r="B161" s="282"/>
      <c r="C161" s="281"/>
      <c r="D161" s="78" t="s">
        <v>39</v>
      </c>
      <c r="E161" s="20"/>
      <c r="F161" s="20"/>
      <c r="G161" s="20"/>
    </row>
    <row r="162" spans="1:7" x14ac:dyDescent="0.3">
      <c r="A162" s="275" t="s">
        <v>86</v>
      </c>
      <c r="B162" s="320"/>
      <c r="C162" s="320"/>
      <c r="D162" s="276"/>
      <c r="E162" s="20"/>
      <c r="F162" s="20"/>
      <c r="G162" s="20"/>
    </row>
    <row r="163" spans="1:7" x14ac:dyDescent="0.3">
      <c r="A163" s="156" t="s">
        <v>40</v>
      </c>
      <c r="B163" s="275" t="s">
        <v>87</v>
      </c>
      <c r="C163" s="276"/>
      <c r="D163" s="25">
        <f>D34</f>
        <v>2592.7835397727272</v>
      </c>
      <c r="E163" s="20"/>
      <c r="F163" s="20"/>
      <c r="G163" s="20"/>
    </row>
    <row r="164" spans="1:7" x14ac:dyDescent="0.3">
      <c r="A164" s="156" t="s">
        <v>19</v>
      </c>
      <c r="B164" s="275" t="s">
        <v>88</v>
      </c>
      <c r="C164" s="276"/>
      <c r="D164" s="25">
        <f>D70</f>
        <v>1835.6683812102272</v>
      </c>
      <c r="E164" s="20"/>
      <c r="F164" s="20"/>
      <c r="G164" s="20"/>
    </row>
    <row r="165" spans="1:7" x14ac:dyDescent="0.3">
      <c r="A165" s="156" t="s">
        <v>20</v>
      </c>
      <c r="B165" s="275" t="s">
        <v>89</v>
      </c>
      <c r="C165" s="276"/>
      <c r="D165" s="25">
        <f>D113</f>
        <v>248.52750754610051</v>
      </c>
      <c r="E165" s="20"/>
      <c r="F165" s="20"/>
      <c r="G165" s="20"/>
    </row>
    <row r="166" spans="1:7" x14ac:dyDescent="0.3">
      <c r="A166" s="156" t="s">
        <v>22</v>
      </c>
      <c r="B166" s="275" t="s">
        <v>90</v>
      </c>
      <c r="C166" s="276"/>
      <c r="D166" s="25">
        <f>D134</f>
        <v>316.81975784659267</v>
      </c>
      <c r="E166" s="20"/>
      <c r="F166" s="20"/>
      <c r="G166" s="20"/>
    </row>
    <row r="167" spans="1:7" x14ac:dyDescent="0.3">
      <c r="A167" s="156" t="s">
        <v>25</v>
      </c>
      <c r="B167" s="275" t="s">
        <v>91</v>
      </c>
      <c r="C167" s="276"/>
      <c r="D167" s="25">
        <f>D143</f>
        <v>139.9807222222222</v>
      </c>
      <c r="E167" s="20"/>
      <c r="F167" s="20"/>
      <c r="G167" s="20"/>
    </row>
    <row r="168" spans="1:7" x14ac:dyDescent="0.3">
      <c r="A168" s="321" t="s">
        <v>92</v>
      </c>
      <c r="B168" s="322"/>
      <c r="C168" s="323"/>
      <c r="D168" s="25">
        <f>SUM(D163:D167)</f>
        <v>5133.7799085978695</v>
      </c>
      <c r="E168" s="20"/>
      <c r="F168" s="20"/>
      <c r="G168" s="20"/>
    </row>
    <row r="169" spans="1:7" x14ac:dyDescent="0.3">
      <c r="A169" s="156" t="s">
        <v>93</v>
      </c>
      <c r="B169" s="275" t="s">
        <v>94</v>
      </c>
      <c r="C169" s="276"/>
      <c r="D169" s="25">
        <f>D159</f>
        <v>1070.0104817373403</v>
      </c>
      <c r="E169" s="20"/>
      <c r="F169" s="20"/>
      <c r="G169" s="20"/>
    </row>
    <row r="170" spans="1:7" x14ac:dyDescent="0.3">
      <c r="A170" s="280" t="s">
        <v>95</v>
      </c>
      <c r="B170" s="282"/>
      <c r="C170" s="281"/>
      <c r="D170" s="124">
        <f xml:space="preserve"> D168+D169</f>
        <v>6203.7903903352098</v>
      </c>
      <c r="E170" s="20"/>
      <c r="F170" s="20"/>
      <c r="G170" s="20"/>
    </row>
    <row r="171" spans="1:7" x14ac:dyDescent="0.3">
      <c r="A171" s="20"/>
      <c r="B171" s="20"/>
      <c r="C171" s="20"/>
      <c r="D171" s="20"/>
      <c r="E171" s="20"/>
      <c r="F171" s="20"/>
      <c r="G171" s="20"/>
    </row>
    <row r="172" spans="1:7" x14ac:dyDescent="0.3">
      <c r="A172" s="324" t="s">
        <v>3</v>
      </c>
      <c r="B172" s="325"/>
      <c r="C172" s="326"/>
      <c r="D172" s="79" t="s">
        <v>2</v>
      </c>
      <c r="E172" s="20"/>
      <c r="F172" s="20"/>
      <c r="G172" s="20"/>
    </row>
    <row r="173" spans="1:7" x14ac:dyDescent="0.3">
      <c r="A173" s="327" t="s">
        <v>113</v>
      </c>
      <c r="B173" s="328"/>
      <c r="C173" s="329"/>
      <c r="D173" s="80">
        <f>C17</f>
        <v>2</v>
      </c>
      <c r="E173" s="20"/>
      <c r="F173" s="20"/>
      <c r="G173" s="20"/>
    </row>
    <row r="174" spans="1:7" x14ac:dyDescent="0.3">
      <c r="A174" s="327" t="s">
        <v>0</v>
      </c>
      <c r="B174" s="328"/>
      <c r="C174" s="329"/>
      <c r="D174" s="90">
        <f>D173*D170</f>
        <v>12407.58078067042</v>
      </c>
      <c r="E174" s="20"/>
      <c r="F174" s="20"/>
      <c r="G174" s="20"/>
    </row>
    <row r="175" spans="1:7" x14ac:dyDescent="0.3">
      <c r="A175" s="20"/>
      <c r="B175" s="20"/>
      <c r="C175" s="20"/>
      <c r="D175" s="20"/>
      <c r="E175" s="20"/>
      <c r="F175" s="20"/>
      <c r="G175" s="20"/>
    </row>
    <row r="176" spans="1:7" x14ac:dyDescent="0.3">
      <c r="A176" s="20"/>
      <c r="B176" s="20"/>
      <c r="C176" s="20"/>
      <c r="D176" s="20"/>
      <c r="E176" s="20"/>
      <c r="F176" s="20"/>
      <c r="G176" s="20"/>
    </row>
  </sheetData>
  <mergeCells count="96">
    <mergeCell ref="C10:D10"/>
    <mergeCell ref="A1:D1"/>
    <mergeCell ref="A2:B2"/>
    <mergeCell ref="C2:D2"/>
    <mergeCell ref="A3:B3"/>
    <mergeCell ref="C3:D3"/>
    <mergeCell ref="A4:D4"/>
    <mergeCell ref="A5:D5"/>
    <mergeCell ref="C6:D6"/>
    <mergeCell ref="C7:D7"/>
    <mergeCell ref="C8:D8"/>
    <mergeCell ref="C9:D9"/>
    <mergeCell ref="B22:C22"/>
    <mergeCell ref="C11:D11"/>
    <mergeCell ref="C12:D12"/>
    <mergeCell ref="A13:D13"/>
    <mergeCell ref="A14:D14"/>
    <mergeCell ref="A15:D15"/>
    <mergeCell ref="C16:D16"/>
    <mergeCell ref="C17:D17"/>
    <mergeCell ref="C18:D18"/>
    <mergeCell ref="A19:D19"/>
    <mergeCell ref="B20:C20"/>
    <mergeCell ref="B21:C21"/>
    <mergeCell ref="A54:D54"/>
    <mergeCell ref="A23:D23"/>
    <mergeCell ref="A24:D24"/>
    <mergeCell ref="A25:D25"/>
    <mergeCell ref="B26:C26"/>
    <mergeCell ref="A34:C34"/>
    <mergeCell ref="A35:D35"/>
    <mergeCell ref="A36:D36"/>
    <mergeCell ref="A37:D37"/>
    <mergeCell ref="A42:B42"/>
    <mergeCell ref="A43:D43"/>
    <mergeCell ref="A53:B53"/>
    <mergeCell ref="A104:B104"/>
    <mergeCell ref="A64:C64"/>
    <mergeCell ref="A65:D65"/>
    <mergeCell ref="A66:B66"/>
    <mergeCell ref="A70:C70"/>
    <mergeCell ref="A71:D71"/>
    <mergeCell ref="A72:D72"/>
    <mergeCell ref="A73:D73"/>
    <mergeCell ref="A86:B86"/>
    <mergeCell ref="A87:D87"/>
    <mergeCell ref="A98:B98"/>
    <mergeCell ref="A99:D99"/>
    <mergeCell ref="A129:B129"/>
    <mergeCell ref="A105:D105"/>
    <mergeCell ref="A106:B106"/>
    <mergeCell ref="A109:C109"/>
    <mergeCell ref="A110:B110"/>
    <mergeCell ref="A111:B111"/>
    <mergeCell ref="A113:B113"/>
    <mergeCell ref="A114:D114"/>
    <mergeCell ref="A115:D115"/>
    <mergeCell ref="A116:D116"/>
    <mergeCell ref="A120:B120"/>
    <mergeCell ref="A121:D121"/>
    <mergeCell ref="A143:C143"/>
    <mergeCell ref="A130:D130"/>
    <mergeCell ref="A131:B131"/>
    <mergeCell ref="A134:C134"/>
    <mergeCell ref="A135:D135"/>
    <mergeCell ref="A136:D136"/>
    <mergeCell ref="A137:D137"/>
    <mergeCell ref="B138:C138"/>
    <mergeCell ref="B139:C139"/>
    <mergeCell ref="B140:C140"/>
    <mergeCell ref="B141:C141"/>
    <mergeCell ref="B142:C142"/>
    <mergeCell ref="A161:C161"/>
    <mergeCell ref="A144:D144"/>
    <mergeCell ref="A145:C145"/>
    <mergeCell ref="A146:D146"/>
    <mergeCell ref="A147:D147"/>
    <mergeCell ref="A148:D148"/>
    <mergeCell ref="A151:C151"/>
    <mergeCell ref="A153:C153"/>
    <mergeCell ref="B154:D154"/>
    <mergeCell ref="A158:B158"/>
    <mergeCell ref="A159:B159"/>
    <mergeCell ref="A160:D160"/>
    <mergeCell ref="A174:C174"/>
    <mergeCell ref="A162:D162"/>
    <mergeCell ref="B163:C163"/>
    <mergeCell ref="B164:C164"/>
    <mergeCell ref="B165:C165"/>
    <mergeCell ref="B166:C166"/>
    <mergeCell ref="B167:C167"/>
    <mergeCell ref="A168:C168"/>
    <mergeCell ref="B169:C169"/>
    <mergeCell ref="A170:C170"/>
    <mergeCell ref="A172:C172"/>
    <mergeCell ref="A173:C17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55635F-478F-4DBB-873F-413C9EA375C5}">
  <sheetPr codeName="Planilha11"/>
  <dimension ref="A1:WVO176"/>
  <sheetViews>
    <sheetView zoomScale="85" zoomScaleNormal="85" workbookViewId="0">
      <selection activeCell="A13" sqref="A13:D13"/>
    </sheetView>
  </sheetViews>
  <sheetFormatPr defaultColWidth="0" defaultRowHeight="15.75" customHeight="1" zeroHeight="1" outlineLevelRow="2" x14ac:dyDescent="0.3"/>
  <cols>
    <col min="1" max="1" width="18.7109375" style="21" customWidth="1"/>
    <col min="2" max="2" width="72" style="21" customWidth="1"/>
    <col min="3" max="3" width="22.85546875" style="21" customWidth="1"/>
    <col min="4" max="4" width="29.85546875" style="21" customWidth="1"/>
    <col min="5" max="5" width="11.85546875" style="81" customWidth="1"/>
    <col min="6" max="6" width="9.140625" style="81" customWidth="1"/>
    <col min="7" max="254" width="9.140625" style="81" hidden="1"/>
    <col min="255" max="255" width="18.7109375" style="81" hidden="1"/>
    <col min="256" max="256" width="72" style="81" hidden="1"/>
    <col min="257" max="257" width="22.85546875" style="81" hidden="1"/>
    <col min="258" max="258" width="29.85546875" style="81" hidden="1"/>
    <col min="259" max="260" width="9.140625" style="81" hidden="1"/>
    <col min="261" max="261" width="15.42578125" style="81" hidden="1"/>
    <col min="262" max="510" width="9.140625" style="81" hidden="1"/>
    <col min="511" max="511" width="18.7109375" style="81" hidden="1"/>
    <col min="512" max="512" width="72" style="81" hidden="1"/>
    <col min="513" max="513" width="22.85546875" style="81" hidden="1"/>
    <col min="514" max="514" width="29.85546875" style="81" hidden="1"/>
    <col min="515" max="516" width="9.140625" style="81" hidden="1"/>
    <col min="517" max="517" width="15.42578125" style="81" hidden="1"/>
    <col min="518" max="766" width="9.140625" style="81" hidden="1"/>
    <col min="767" max="767" width="18.7109375" style="81" hidden="1"/>
    <col min="768" max="768" width="72" style="81" hidden="1"/>
    <col min="769" max="769" width="22.85546875" style="81" hidden="1"/>
    <col min="770" max="770" width="29.85546875" style="81" hidden="1"/>
    <col min="771" max="772" width="9.140625" style="81" hidden="1"/>
    <col min="773" max="773" width="15.42578125" style="81" hidden="1"/>
    <col min="774" max="1022" width="9.140625" style="81" hidden="1"/>
    <col min="1023" max="1023" width="18.7109375" style="81" hidden="1"/>
    <col min="1024" max="1024" width="72" style="81" hidden="1"/>
    <col min="1025" max="1025" width="22.85546875" style="81" hidden="1"/>
    <col min="1026" max="1026" width="29.85546875" style="81" hidden="1"/>
    <col min="1027" max="1028" width="9.140625" style="81" hidden="1"/>
    <col min="1029" max="1029" width="15.42578125" style="81" hidden="1"/>
    <col min="1030" max="1278" width="9.140625" style="81" hidden="1"/>
    <col min="1279" max="1279" width="18.7109375" style="81" hidden="1"/>
    <col min="1280" max="1280" width="72" style="81" hidden="1"/>
    <col min="1281" max="1281" width="22.85546875" style="81" hidden="1"/>
    <col min="1282" max="1282" width="29.85546875" style="81" hidden="1"/>
    <col min="1283" max="1284" width="9.140625" style="81" hidden="1"/>
    <col min="1285" max="1285" width="15.42578125" style="81" hidden="1"/>
    <col min="1286" max="1534" width="9.140625" style="81" hidden="1"/>
    <col min="1535" max="1535" width="18.7109375" style="81" hidden="1"/>
    <col min="1536" max="1536" width="72" style="81" hidden="1"/>
    <col min="1537" max="1537" width="22.85546875" style="81" hidden="1"/>
    <col min="1538" max="1538" width="29.85546875" style="81" hidden="1"/>
    <col min="1539" max="1540" width="9.140625" style="81" hidden="1"/>
    <col min="1541" max="1541" width="15.42578125" style="81" hidden="1"/>
    <col min="1542" max="1790" width="9.140625" style="81" hidden="1"/>
    <col min="1791" max="1791" width="18.7109375" style="81" hidden="1"/>
    <col min="1792" max="1792" width="72" style="81" hidden="1"/>
    <col min="1793" max="1793" width="22.85546875" style="81" hidden="1"/>
    <col min="1794" max="1794" width="29.85546875" style="81" hidden="1"/>
    <col min="1795" max="1796" width="9.140625" style="81" hidden="1"/>
    <col min="1797" max="1797" width="15.42578125" style="81" hidden="1"/>
    <col min="1798" max="2046" width="9.140625" style="81" hidden="1"/>
    <col min="2047" max="2047" width="18.7109375" style="81" hidden="1"/>
    <col min="2048" max="2048" width="72" style="81" hidden="1"/>
    <col min="2049" max="2049" width="22.85546875" style="81" hidden="1"/>
    <col min="2050" max="2050" width="29.85546875" style="81" hidden="1"/>
    <col min="2051" max="2052" width="9.140625" style="81" hidden="1"/>
    <col min="2053" max="2053" width="15.42578125" style="81" hidden="1"/>
    <col min="2054" max="2302" width="9.140625" style="81" hidden="1"/>
    <col min="2303" max="2303" width="18.7109375" style="81" hidden="1"/>
    <col min="2304" max="2304" width="72" style="81" hidden="1"/>
    <col min="2305" max="2305" width="22.85546875" style="81" hidden="1"/>
    <col min="2306" max="2306" width="29.85546875" style="81" hidden="1"/>
    <col min="2307" max="2308" width="9.140625" style="81" hidden="1"/>
    <col min="2309" max="2309" width="15.42578125" style="81" hidden="1"/>
    <col min="2310" max="2558" width="9.140625" style="81" hidden="1"/>
    <col min="2559" max="2559" width="18.7109375" style="81" hidden="1"/>
    <col min="2560" max="2560" width="72" style="81" hidden="1"/>
    <col min="2561" max="2561" width="22.85546875" style="81" hidden="1"/>
    <col min="2562" max="2562" width="29.85546875" style="81" hidden="1"/>
    <col min="2563" max="2564" width="9.140625" style="81" hidden="1"/>
    <col min="2565" max="2565" width="15.42578125" style="81" hidden="1"/>
    <col min="2566" max="2814" width="9.140625" style="81" hidden="1"/>
    <col min="2815" max="2815" width="18.7109375" style="81" hidden="1"/>
    <col min="2816" max="2816" width="72" style="81" hidden="1"/>
    <col min="2817" max="2817" width="22.85546875" style="81" hidden="1"/>
    <col min="2818" max="2818" width="29.85546875" style="81" hidden="1"/>
    <col min="2819" max="2820" width="9.140625" style="81" hidden="1"/>
    <col min="2821" max="2821" width="15.42578125" style="81" hidden="1"/>
    <col min="2822" max="3070" width="9.140625" style="81" hidden="1"/>
    <col min="3071" max="3071" width="18.7109375" style="81" hidden="1"/>
    <col min="3072" max="3072" width="72" style="81" hidden="1"/>
    <col min="3073" max="3073" width="22.85546875" style="81" hidden="1"/>
    <col min="3074" max="3074" width="29.85546875" style="81" hidden="1"/>
    <col min="3075" max="3076" width="9.140625" style="81" hidden="1"/>
    <col min="3077" max="3077" width="15.42578125" style="81" hidden="1"/>
    <col min="3078" max="3326" width="9.140625" style="81" hidden="1"/>
    <col min="3327" max="3327" width="18.7109375" style="81" hidden="1"/>
    <col min="3328" max="3328" width="72" style="81" hidden="1"/>
    <col min="3329" max="3329" width="22.85546875" style="81" hidden="1"/>
    <col min="3330" max="3330" width="29.85546875" style="81" hidden="1"/>
    <col min="3331" max="3332" width="9.140625" style="81" hidden="1"/>
    <col min="3333" max="3333" width="15.42578125" style="81" hidden="1"/>
    <col min="3334" max="3582" width="9.140625" style="81" hidden="1"/>
    <col min="3583" max="3583" width="18.7109375" style="81" hidden="1"/>
    <col min="3584" max="3584" width="72" style="81" hidden="1"/>
    <col min="3585" max="3585" width="22.85546875" style="81" hidden="1"/>
    <col min="3586" max="3586" width="29.85546875" style="81" hidden="1"/>
    <col min="3587" max="3588" width="9.140625" style="81" hidden="1"/>
    <col min="3589" max="3589" width="15.42578125" style="81" hidden="1"/>
    <col min="3590" max="3838" width="9.140625" style="81" hidden="1"/>
    <col min="3839" max="3839" width="18.7109375" style="81" hidden="1"/>
    <col min="3840" max="3840" width="72" style="81" hidden="1"/>
    <col min="3841" max="3841" width="22.85546875" style="81" hidden="1"/>
    <col min="3842" max="3842" width="29.85546875" style="81" hidden="1"/>
    <col min="3843" max="3844" width="9.140625" style="81" hidden="1"/>
    <col min="3845" max="3845" width="15.42578125" style="81" hidden="1"/>
    <col min="3846" max="4094" width="9.140625" style="81" hidden="1"/>
    <col min="4095" max="4095" width="18.7109375" style="81" hidden="1"/>
    <col min="4096" max="4096" width="72" style="81" hidden="1"/>
    <col min="4097" max="4097" width="22.85546875" style="81" hidden="1"/>
    <col min="4098" max="4098" width="29.85546875" style="81" hidden="1"/>
    <col min="4099" max="4100" width="9.140625" style="81" hidden="1"/>
    <col min="4101" max="4101" width="15.42578125" style="81" hidden="1"/>
    <col min="4102" max="4350" width="9.140625" style="81" hidden="1"/>
    <col min="4351" max="4351" width="18.7109375" style="81" hidden="1"/>
    <col min="4352" max="4352" width="72" style="81" hidden="1"/>
    <col min="4353" max="4353" width="22.85546875" style="81" hidden="1"/>
    <col min="4354" max="4354" width="29.85546875" style="81" hidden="1"/>
    <col min="4355" max="4356" width="9.140625" style="81" hidden="1"/>
    <col min="4357" max="4357" width="15.42578125" style="81" hidden="1"/>
    <col min="4358" max="4606" width="9.140625" style="81" hidden="1"/>
    <col min="4607" max="4607" width="18.7109375" style="81" hidden="1"/>
    <col min="4608" max="4608" width="72" style="81" hidden="1"/>
    <col min="4609" max="4609" width="22.85546875" style="81" hidden="1"/>
    <col min="4610" max="4610" width="29.85546875" style="81" hidden="1"/>
    <col min="4611" max="4612" width="9.140625" style="81" hidden="1"/>
    <col min="4613" max="4613" width="15.42578125" style="81" hidden="1"/>
    <col min="4614" max="4862" width="9.140625" style="81" hidden="1"/>
    <col min="4863" max="4863" width="18.7109375" style="81" hidden="1"/>
    <col min="4864" max="4864" width="72" style="81" hidden="1"/>
    <col min="4865" max="4865" width="22.85546875" style="81" hidden="1"/>
    <col min="4866" max="4866" width="29.85546875" style="81" hidden="1"/>
    <col min="4867" max="4868" width="9.140625" style="81" hidden="1"/>
    <col min="4869" max="4869" width="15.42578125" style="81" hidden="1"/>
    <col min="4870" max="5118" width="9.140625" style="81" hidden="1"/>
    <col min="5119" max="5119" width="18.7109375" style="81" hidden="1"/>
    <col min="5120" max="5120" width="72" style="81" hidden="1"/>
    <col min="5121" max="5121" width="22.85546875" style="81" hidden="1"/>
    <col min="5122" max="5122" width="29.85546875" style="81" hidden="1"/>
    <col min="5123" max="5124" width="9.140625" style="81" hidden="1"/>
    <col min="5125" max="5125" width="15.42578125" style="81" hidden="1"/>
    <col min="5126" max="5374" width="9.140625" style="81" hidden="1"/>
    <col min="5375" max="5375" width="18.7109375" style="81" hidden="1"/>
    <col min="5376" max="5376" width="72" style="81" hidden="1"/>
    <col min="5377" max="5377" width="22.85546875" style="81" hidden="1"/>
    <col min="5378" max="5378" width="29.85546875" style="81" hidden="1"/>
    <col min="5379" max="5380" width="9.140625" style="81" hidden="1"/>
    <col min="5381" max="5381" width="15.42578125" style="81" hidden="1"/>
    <col min="5382" max="5630" width="9.140625" style="81" hidden="1"/>
    <col min="5631" max="5631" width="18.7109375" style="81" hidden="1"/>
    <col min="5632" max="5632" width="72" style="81" hidden="1"/>
    <col min="5633" max="5633" width="22.85546875" style="81" hidden="1"/>
    <col min="5634" max="5634" width="29.85546875" style="81" hidden="1"/>
    <col min="5635" max="5636" width="9.140625" style="81" hidden="1"/>
    <col min="5637" max="5637" width="15.42578125" style="81" hidden="1"/>
    <col min="5638" max="5886" width="9.140625" style="81" hidden="1"/>
    <col min="5887" max="5887" width="18.7109375" style="81" hidden="1"/>
    <col min="5888" max="5888" width="72" style="81" hidden="1"/>
    <col min="5889" max="5889" width="22.85546875" style="81" hidden="1"/>
    <col min="5890" max="5890" width="29.85546875" style="81" hidden="1"/>
    <col min="5891" max="5892" width="9.140625" style="81" hidden="1"/>
    <col min="5893" max="5893" width="15.42578125" style="81" hidden="1"/>
    <col min="5894" max="6142" width="9.140625" style="81" hidden="1"/>
    <col min="6143" max="6143" width="18.7109375" style="81" hidden="1"/>
    <col min="6144" max="6144" width="72" style="81" hidden="1"/>
    <col min="6145" max="6145" width="22.85546875" style="81" hidden="1"/>
    <col min="6146" max="6146" width="29.85546875" style="81" hidden="1"/>
    <col min="6147" max="6148" width="9.140625" style="81" hidden="1"/>
    <col min="6149" max="6149" width="15.42578125" style="81" hidden="1"/>
    <col min="6150" max="6398" width="9.140625" style="81" hidden="1"/>
    <col min="6399" max="6399" width="18.7109375" style="81" hidden="1"/>
    <col min="6400" max="6400" width="72" style="81" hidden="1"/>
    <col min="6401" max="6401" width="22.85546875" style="81" hidden="1"/>
    <col min="6402" max="6402" width="29.85546875" style="81" hidden="1"/>
    <col min="6403" max="6404" width="9.140625" style="81" hidden="1"/>
    <col min="6405" max="6405" width="15.42578125" style="81" hidden="1"/>
    <col min="6406" max="6654" width="9.140625" style="81" hidden="1"/>
    <col min="6655" max="6655" width="18.7109375" style="81" hidden="1"/>
    <col min="6656" max="6656" width="72" style="81" hidden="1"/>
    <col min="6657" max="6657" width="22.85546875" style="81" hidden="1"/>
    <col min="6658" max="6658" width="29.85546875" style="81" hidden="1"/>
    <col min="6659" max="6660" width="9.140625" style="81" hidden="1"/>
    <col min="6661" max="6661" width="15.42578125" style="81" hidden="1"/>
    <col min="6662" max="6910" width="9.140625" style="81" hidden="1"/>
    <col min="6911" max="6911" width="18.7109375" style="81" hidden="1"/>
    <col min="6912" max="6912" width="72" style="81" hidden="1"/>
    <col min="6913" max="6913" width="22.85546875" style="81" hidden="1"/>
    <col min="6914" max="6914" width="29.85546875" style="81" hidden="1"/>
    <col min="6915" max="6916" width="9.140625" style="81" hidden="1"/>
    <col min="6917" max="6917" width="15.42578125" style="81" hidden="1"/>
    <col min="6918" max="7166" width="9.140625" style="81" hidden="1"/>
    <col min="7167" max="7167" width="18.7109375" style="81" hidden="1"/>
    <col min="7168" max="7168" width="72" style="81" hidden="1"/>
    <col min="7169" max="7169" width="22.85546875" style="81" hidden="1"/>
    <col min="7170" max="7170" width="29.85546875" style="81" hidden="1"/>
    <col min="7171" max="7172" width="9.140625" style="81" hidden="1"/>
    <col min="7173" max="7173" width="15.42578125" style="81" hidden="1"/>
    <col min="7174" max="7422" width="9.140625" style="81" hidden="1"/>
    <col min="7423" max="7423" width="18.7109375" style="81" hidden="1"/>
    <col min="7424" max="7424" width="72" style="81" hidden="1"/>
    <col min="7425" max="7425" width="22.85546875" style="81" hidden="1"/>
    <col min="7426" max="7426" width="29.85546875" style="81" hidden="1"/>
    <col min="7427" max="7428" width="9.140625" style="81" hidden="1"/>
    <col min="7429" max="7429" width="15.42578125" style="81" hidden="1"/>
    <col min="7430" max="7678" width="9.140625" style="81" hidden="1"/>
    <col min="7679" max="7679" width="18.7109375" style="81" hidden="1"/>
    <col min="7680" max="7680" width="72" style="81" hidden="1"/>
    <col min="7681" max="7681" width="22.85546875" style="81" hidden="1"/>
    <col min="7682" max="7682" width="29.85546875" style="81" hidden="1"/>
    <col min="7683" max="7684" width="9.140625" style="81" hidden="1"/>
    <col min="7685" max="7685" width="15.42578125" style="81" hidden="1"/>
    <col min="7686" max="7934" width="9.140625" style="81" hidden="1"/>
    <col min="7935" max="7935" width="18.7109375" style="81" hidden="1"/>
    <col min="7936" max="7936" width="72" style="81" hidden="1"/>
    <col min="7937" max="7937" width="22.85546875" style="81" hidden="1"/>
    <col min="7938" max="7938" width="29.85546875" style="81" hidden="1"/>
    <col min="7939" max="7940" width="9.140625" style="81" hidden="1"/>
    <col min="7941" max="7941" width="15.42578125" style="81" hidden="1"/>
    <col min="7942" max="8190" width="9.140625" style="81" hidden="1"/>
    <col min="8191" max="8191" width="18.7109375" style="81" hidden="1"/>
    <col min="8192" max="8192" width="72" style="81" hidden="1"/>
    <col min="8193" max="8193" width="22.85546875" style="81" hidden="1"/>
    <col min="8194" max="8194" width="29.85546875" style="81" hidden="1"/>
    <col min="8195" max="8196" width="9.140625" style="81" hidden="1"/>
    <col min="8197" max="8197" width="15.42578125" style="81" hidden="1"/>
    <col min="8198" max="8446" width="9.140625" style="81" hidden="1"/>
    <col min="8447" max="8447" width="18.7109375" style="81" hidden="1"/>
    <col min="8448" max="8448" width="72" style="81" hidden="1"/>
    <col min="8449" max="8449" width="22.85546875" style="81" hidden="1"/>
    <col min="8450" max="8450" width="29.85546875" style="81" hidden="1"/>
    <col min="8451" max="8452" width="9.140625" style="81" hidden="1"/>
    <col min="8453" max="8453" width="15.42578125" style="81" hidden="1"/>
    <col min="8454" max="8702" width="9.140625" style="81" hidden="1"/>
    <col min="8703" max="8703" width="18.7109375" style="81" hidden="1"/>
    <col min="8704" max="8704" width="72" style="81" hidden="1"/>
    <col min="8705" max="8705" width="22.85546875" style="81" hidden="1"/>
    <col min="8706" max="8706" width="29.85546875" style="81" hidden="1"/>
    <col min="8707" max="8708" width="9.140625" style="81" hidden="1"/>
    <col min="8709" max="8709" width="15.42578125" style="81" hidden="1"/>
    <col min="8710" max="8958" width="9.140625" style="81" hidden="1"/>
    <col min="8959" max="8959" width="18.7109375" style="81" hidden="1"/>
    <col min="8960" max="8960" width="72" style="81" hidden="1"/>
    <col min="8961" max="8961" width="22.85546875" style="81" hidden="1"/>
    <col min="8962" max="8962" width="29.85546875" style="81" hidden="1"/>
    <col min="8963" max="8964" width="9.140625" style="81" hidden="1"/>
    <col min="8965" max="8965" width="15.42578125" style="81" hidden="1"/>
    <col min="8966" max="9214" width="9.140625" style="81" hidden="1"/>
    <col min="9215" max="9215" width="18.7109375" style="81" hidden="1"/>
    <col min="9216" max="9216" width="72" style="81" hidden="1"/>
    <col min="9217" max="9217" width="22.85546875" style="81" hidden="1"/>
    <col min="9218" max="9218" width="29.85546875" style="81" hidden="1"/>
    <col min="9219" max="9220" width="9.140625" style="81" hidden="1"/>
    <col min="9221" max="9221" width="15.42578125" style="81" hidden="1"/>
    <col min="9222" max="9470" width="9.140625" style="81" hidden="1"/>
    <col min="9471" max="9471" width="18.7109375" style="81" hidden="1"/>
    <col min="9472" max="9472" width="72" style="81" hidden="1"/>
    <col min="9473" max="9473" width="22.85546875" style="81" hidden="1"/>
    <col min="9474" max="9474" width="29.85546875" style="81" hidden="1"/>
    <col min="9475" max="9476" width="9.140625" style="81" hidden="1"/>
    <col min="9477" max="9477" width="15.42578125" style="81" hidden="1"/>
    <col min="9478" max="9726" width="9.140625" style="81" hidden="1"/>
    <col min="9727" max="9727" width="18.7109375" style="81" hidden="1"/>
    <col min="9728" max="9728" width="72" style="81" hidden="1"/>
    <col min="9729" max="9729" width="22.85546875" style="81" hidden="1"/>
    <col min="9730" max="9730" width="29.85546875" style="81" hidden="1"/>
    <col min="9731" max="9732" width="9.140625" style="81" hidden="1"/>
    <col min="9733" max="9733" width="15.42578125" style="81" hidden="1"/>
    <col min="9734" max="9982" width="9.140625" style="81" hidden="1"/>
    <col min="9983" max="9983" width="18.7109375" style="81" hidden="1"/>
    <col min="9984" max="9984" width="72" style="81" hidden="1"/>
    <col min="9985" max="9985" width="22.85546875" style="81" hidden="1"/>
    <col min="9986" max="9986" width="29.85546875" style="81" hidden="1"/>
    <col min="9987" max="9988" width="9.140625" style="81" hidden="1"/>
    <col min="9989" max="9989" width="15.42578125" style="81" hidden="1"/>
    <col min="9990" max="10238" width="9.140625" style="81" hidden="1"/>
    <col min="10239" max="10239" width="18.7109375" style="81" hidden="1"/>
    <col min="10240" max="10240" width="72" style="81" hidden="1"/>
    <col min="10241" max="10241" width="22.85546875" style="81" hidden="1"/>
    <col min="10242" max="10242" width="29.85546875" style="81" hidden="1"/>
    <col min="10243" max="10244" width="9.140625" style="81" hidden="1"/>
    <col min="10245" max="10245" width="15.42578125" style="81" hidden="1"/>
    <col min="10246" max="10494" width="9.140625" style="81" hidden="1"/>
    <col min="10495" max="10495" width="18.7109375" style="81" hidden="1"/>
    <col min="10496" max="10496" width="72" style="81" hidden="1"/>
    <col min="10497" max="10497" width="22.85546875" style="81" hidden="1"/>
    <col min="10498" max="10498" width="29.85546875" style="81" hidden="1"/>
    <col min="10499" max="10500" width="9.140625" style="81" hidden="1"/>
    <col min="10501" max="10501" width="15.42578125" style="81" hidden="1"/>
    <col min="10502" max="10750" width="9.140625" style="81" hidden="1"/>
    <col min="10751" max="10751" width="18.7109375" style="81" hidden="1"/>
    <col min="10752" max="10752" width="72" style="81" hidden="1"/>
    <col min="10753" max="10753" width="22.85546875" style="81" hidden="1"/>
    <col min="10754" max="10754" width="29.85546875" style="81" hidden="1"/>
    <col min="10755" max="10756" width="9.140625" style="81" hidden="1"/>
    <col min="10757" max="10757" width="15.42578125" style="81" hidden="1"/>
    <col min="10758" max="11006" width="9.140625" style="81" hidden="1"/>
    <col min="11007" max="11007" width="18.7109375" style="81" hidden="1"/>
    <col min="11008" max="11008" width="72" style="81" hidden="1"/>
    <col min="11009" max="11009" width="22.85546875" style="81" hidden="1"/>
    <col min="11010" max="11010" width="29.85546875" style="81" hidden="1"/>
    <col min="11011" max="11012" width="9.140625" style="81" hidden="1"/>
    <col min="11013" max="11013" width="15.42578125" style="81" hidden="1"/>
    <col min="11014" max="11262" width="9.140625" style="81" hidden="1"/>
    <col min="11263" max="11263" width="18.7109375" style="81" hidden="1"/>
    <col min="11264" max="11264" width="72" style="81" hidden="1"/>
    <col min="11265" max="11265" width="22.85546875" style="81" hidden="1"/>
    <col min="11266" max="11266" width="29.85546875" style="81" hidden="1"/>
    <col min="11267" max="11268" width="9.140625" style="81" hidden="1"/>
    <col min="11269" max="11269" width="15.42578125" style="81" hidden="1"/>
    <col min="11270" max="11518" width="9.140625" style="81" hidden="1"/>
    <col min="11519" max="11519" width="18.7109375" style="81" hidden="1"/>
    <col min="11520" max="11520" width="72" style="81" hidden="1"/>
    <col min="11521" max="11521" width="22.85546875" style="81" hidden="1"/>
    <col min="11522" max="11522" width="29.85546875" style="81" hidden="1"/>
    <col min="11523" max="11524" width="9.140625" style="81" hidden="1"/>
    <col min="11525" max="11525" width="15.42578125" style="81" hidden="1"/>
    <col min="11526" max="11774" width="9.140625" style="81" hidden="1"/>
    <col min="11775" max="11775" width="18.7109375" style="81" hidden="1"/>
    <col min="11776" max="11776" width="72" style="81" hidden="1"/>
    <col min="11777" max="11777" width="22.85546875" style="81" hidden="1"/>
    <col min="11778" max="11778" width="29.85546875" style="81" hidden="1"/>
    <col min="11779" max="11780" width="9.140625" style="81" hidden="1"/>
    <col min="11781" max="11781" width="15.42578125" style="81" hidden="1"/>
    <col min="11782" max="12030" width="9.140625" style="81" hidden="1"/>
    <col min="12031" max="12031" width="18.7109375" style="81" hidden="1"/>
    <col min="12032" max="12032" width="72" style="81" hidden="1"/>
    <col min="12033" max="12033" width="22.85546875" style="81" hidden="1"/>
    <col min="12034" max="12034" width="29.85546875" style="81" hidden="1"/>
    <col min="12035" max="12036" width="9.140625" style="81" hidden="1"/>
    <col min="12037" max="12037" width="15.42578125" style="81" hidden="1"/>
    <col min="12038" max="12286" width="9.140625" style="81" hidden="1"/>
    <col min="12287" max="12287" width="18.7109375" style="81" hidden="1"/>
    <col min="12288" max="12288" width="72" style="81" hidden="1"/>
    <col min="12289" max="12289" width="22.85546875" style="81" hidden="1"/>
    <col min="12290" max="12290" width="29.85546875" style="81" hidden="1"/>
    <col min="12291" max="12292" width="9.140625" style="81" hidden="1"/>
    <col min="12293" max="12293" width="15.42578125" style="81" hidden="1"/>
    <col min="12294" max="12542" width="9.140625" style="81" hidden="1"/>
    <col min="12543" max="12543" width="18.7109375" style="81" hidden="1"/>
    <col min="12544" max="12544" width="72" style="81" hidden="1"/>
    <col min="12545" max="12545" width="22.85546875" style="81" hidden="1"/>
    <col min="12546" max="12546" width="29.85546875" style="81" hidden="1"/>
    <col min="12547" max="12548" width="9.140625" style="81" hidden="1"/>
    <col min="12549" max="12549" width="15.42578125" style="81" hidden="1"/>
    <col min="12550" max="12798" width="9.140625" style="81" hidden="1"/>
    <col min="12799" max="12799" width="18.7109375" style="81" hidden="1"/>
    <col min="12800" max="12800" width="72" style="81" hidden="1"/>
    <col min="12801" max="12801" width="22.85546875" style="81" hidden="1"/>
    <col min="12802" max="12802" width="29.85546875" style="81" hidden="1"/>
    <col min="12803" max="12804" width="9.140625" style="81" hidden="1"/>
    <col min="12805" max="12805" width="15.42578125" style="81" hidden="1"/>
    <col min="12806" max="13054" width="9.140625" style="81" hidden="1"/>
    <col min="13055" max="13055" width="18.7109375" style="81" hidden="1"/>
    <col min="13056" max="13056" width="72" style="81" hidden="1"/>
    <col min="13057" max="13057" width="22.85546875" style="81" hidden="1"/>
    <col min="13058" max="13058" width="29.85546875" style="81" hidden="1"/>
    <col min="13059" max="13060" width="9.140625" style="81" hidden="1"/>
    <col min="13061" max="13061" width="15.42578125" style="81" hidden="1"/>
    <col min="13062" max="13310" width="9.140625" style="81" hidden="1"/>
    <col min="13311" max="13311" width="18.7109375" style="81" hidden="1"/>
    <col min="13312" max="13312" width="72" style="81" hidden="1"/>
    <col min="13313" max="13313" width="22.85546875" style="81" hidden="1"/>
    <col min="13314" max="13314" width="29.85546875" style="81" hidden="1"/>
    <col min="13315" max="13316" width="9.140625" style="81" hidden="1"/>
    <col min="13317" max="13317" width="15.42578125" style="81" hidden="1"/>
    <col min="13318" max="13566" width="9.140625" style="81" hidden="1"/>
    <col min="13567" max="13567" width="18.7109375" style="81" hidden="1"/>
    <col min="13568" max="13568" width="72" style="81" hidden="1"/>
    <col min="13569" max="13569" width="22.85546875" style="81" hidden="1"/>
    <col min="13570" max="13570" width="29.85546875" style="81" hidden="1"/>
    <col min="13571" max="13572" width="9.140625" style="81" hidden="1"/>
    <col min="13573" max="13573" width="15.42578125" style="81" hidden="1"/>
    <col min="13574" max="13822" width="9.140625" style="81" hidden="1"/>
    <col min="13823" max="13823" width="18.7109375" style="81" hidden="1"/>
    <col min="13824" max="13824" width="72" style="81" hidden="1"/>
    <col min="13825" max="13825" width="22.85546875" style="81" hidden="1"/>
    <col min="13826" max="13826" width="29.85546875" style="81" hidden="1"/>
    <col min="13827" max="13828" width="9.140625" style="81" hidden="1"/>
    <col min="13829" max="13829" width="15.42578125" style="81" hidden="1"/>
    <col min="13830" max="14078" width="9.140625" style="81" hidden="1"/>
    <col min="14079" max="14079" width="18.7109375" style="81" hidden="1"/>
    <col min="14080" max="14080" width="72" style="81" hidden="1"/>
    <col min="14081" max="14081" width="22.85546875" style="81" hidden="1"/>
    <col min="14082" max="14082" width="29.85546875" style="81" hidden="1"/>
    <col min="14083" max="14084" width="9.140625" style="81" hidden="1"/>
    <col min="14085" max="14085" width="15.42578125" style="81" hidden="1"/>
    <col min="14086" max="14334" width="9.140625" style="81" hidden="1"/>
    <col min="14335" max="14335" width="18.7109375" style="81" hidden="1"/>
    <col min="14336" max="14336" width="72" style="81" hidden="1"/>
    <col min="14337" max="14337" width="22.85546875" style="81" hidden="1"/>
    <col min="14338" max="14338" width="29.85546875" style="81" hidden="1"/>
    <col min="14339" max="14340" width="9.140625" style="81" hidden="1"/>
    <col min="14341" max="14341" width="15.42578125" style="81" hidden="1"/>
    <col min="14342" max="14590" width="9.140625" style="81" hidden="1"/>
    <col min="14591" max="14591" width="18.7109375" style="81" hidden="1"/>
    <col min="14592" max="14592" width="72" style="81" hidden="1"/>
    <col min="14593" max="14593" width="22.85546875" style="81" hidden="1"/>
    <col min="14594" max="14594" width="29.85546875" style="81" hidden="1"/>
    <col min="14595" max="14596" width="9.140625" style="81" hidden="1"/>
    <col min="14597" max="14597" width="15.42578125" style="81" hidden="1"/>
    <col min="14598" max="14846" width="9.140625" style="81" hidden="1"/>
    <col min="14847" max="14847" width="18.7109375" style="81" hidden="1"/>
    <col min="14848" max="14848" width="72" style="81" hidden="1"/>
    <col min="14849" max="14849" width="22.85546875" style="81" hidden="1"/>
    <col min="14850" max="14850" width="29.85546875" style="81" hidden="1"/>
    <col min="14851" max="14852" width="9.140625" style="81" hidden="1"/>
    <col min="14853" max="14853" width="15.42578125" style="81" hidden="1"/>
    <col min="14854" max="15102" width="9.140625" style="81" hidden="1"/>
    <col min="15103" max="15103" width="18.7109375" style="81" hidden="1"/>
    <col min="15104" max="15104" width="72" style="81" hidden="1"/>
    <col min="15105" max="15105" width="22.85546875" style="81" hidden="1"/>
    <col min="15106" max="15106" width="29.85546875" style="81" hidden="1"/>
    <col min="15107" max="15108" width="9.140625" style="81" hidden="1"/>
    <col min="15109" max="15109" width="15.42578125" style="81" hidden="1"/>
    <col min="15110" max="15358" width="9.140625" style="81" hidden="1"/>
    <col min="15359" max="15359" width="18.7109375" style="81" hidden="1"/>
    <col min="15360" max="15360" width="72" style="81" hidden="1"/>
    <col min="15361" max="15361" width="22.85546875" style="81" hidden="1"/>
    <col min="15362" max="15362" width="29.85546875" style="81" hidden="1"/>
    <col min="15363" max="15364" width="9.140625" style="81" hidden="1"/>
    <col min="15365" max="15365" width="15.42578125" style="81" hidden="1"/>
    <col min="15366" max="15614" width="9.140625" style="81" hidden="1"/>
    <col min="15615" max="15615" width="18.7109375" style="81" hidden="1"/>
    <col min="15616" max="15616" width="72" style="81" hidden="1"/>
    <col min="15617" max="15617" width="22.85546875" style="81" hidden="1"/>
    <col min="15618" max="15618" width="29.85546875" style="81" hidden="1"/>
    <col min="15619" max="15620" width="9.140625" style="81" hidden="1"/>
    <col min="15621" max="15621" width="15.42578125" style="81" hidden="1"/>
    <col min="15622" max="15870" width="9.140625" style="81" hidden="1"/>
    <col min="15871" max="15871" width="18.7109375" style="81" hidden="1"/>
    <col min="15872" max="15872" width="72" style="81" hidden="1"/>
    <col min="15873" max="15873" width="22.85546875" style="81" hidden="1"/>
    <col min="15874" max="15874" width="29.85546875" style="81" hidden="1"/>
    <col min="15875" max="15876" width="9.140625" style="81" hidden="1"/>
    <col min="15877" max="15877" width="15.42578125" style="81" hidden="1"/>
    <col min="15878" max="16126" width="9.140625" style="81" hidden="1"/>
    <col min="16127" max="16127" width="18.7109375" style="81" hidden="1"/>
    <col min="16128" max="16128" width="72" style="81" hidden="1"/>
    <col min="16129" max="16129" width="22.85546875" style="81" hidden="1"/>
    <col min="16130" max="16130" width="29.85546875" style="81" hidden="1"/>
    <col min="16131" max="16132" width="9.140625" style="81" hidden="1"/>
    <col min="16133" max="16135" width="15.42578125" style="81" hidden="1"/>
    <col min="16136" max="16384" width="9.140625" style="81" hidden="1"/>
  </cols>
  <sheetData>
    <row r="1" spans="1:7" x14ac:dyDescent="0.3">
      <c r="A1" s="251" t="s">
        <v>9</v>
      </c>
      <c r="B1" s="251"/>
      <c r="C1" s="251"/>
      <c r="D1" s="251"/>
      <c r="E1" s="20"/>
      <c r="F1" s="20"/>
      <c r="G1" s="20"/>
    </row>
    <row r="2" spans="1:7" x14ac:dyDescent="0.3">
      <c r="A2" s="252" t="s">
        <v>15</v>
      </c>
      <c r="B2" s="252"/>
      <c r="C2" s="253" t="s">
        <v>221</v>
      </c>
      <c r="D2" s="254"/>
      <c r="E2" s="20"/>
      <c r="F2" s="20"/>
      <c r="G2" s="20"/>
    </row>
    <row r="3" spans="1:7" x14ac:dyDescent="0.3">
      <c r="A3" s="252" t="s">
        <v>16</v>
      </c>
      <c r="B3" s="252"/>
      <c r="C3" s="253" t="s">
        <v>198</v>
      </c>
      <c r="D3" s="254"/>
      <c r="E3" s="20"/>
      <c r="F3" s="20"/>
      <c r="G3" s="20"/>
    </row>
    <row r="4" spans="1:7" x14ac:dyDescent="0.3">
      <c r="A4" s="250"/>
      <c r="B4" s="250"/>
      <c r="C4" s="250"/>
      <c r="D4" s="250"/>
      <c r="E4" s="20"/>
      <c r="F4" s="20"/>
      <c r="G4" s="20"/>
    </row>
    <row r="5" spans="1:7" x14ac:dyDescent="0.3">
      <c r="A5" s="250" t="s">
        <v>17</v>
      </c>
      <c r="B5" s="250"/>
      <c r="C5" s="250"/>
      <c r="D5" s="250"/>
      <c r="E5" s="20"/>
      <c r="F5" s="20"/>
      <c r="G5" s="20"/>
    </row>
    <row r="6" spans="1:7" x14ac:dyDescent="0.3">
      <c r="A6" s="156" t="s">
        <v>18</v>
      </c>
      <c r="B6" s="158" t="s">
        <v>8</v>
      </c>
      <c r="C6" s="257" t="s">
        <v>96</v>
      </c>
      <c r="D6" s="258"/>
      <c r="E6" s="20"/>
      <c r="F6" s="20"/>
      <c r="G6" s="20"/>
    </row>
    <row r="7" spans="1:7" x14ac:dyDescent="0.3">
      <c r="A7" s="156" t="s">
        <v>19</v>
      </c>
      <c r="B7" s="158" t="s">
        <v>7</v>
      </c>
      <c r="C7" s="259" t="s">
        <v>263</v>
      </c>
      <c r="D7" s="259"/>
      <c r="E7" s="20"/>
      <c r="F7" s="20"/>
      <c r="G7" s="20"/>
    </row>
    <row r="8" spans="1:7" x14ac:dyDescent="0.3">
      <c r="A8" s="22" t="s">
        <v>20</v>
      </c>
      <c r="B8" s="23" t="s">
        <v>21</v>
      </c>
      <c r="C8" s="260" t="s">
        <v>222</v>
      </c>
      <c r="D8" s="261"/>
      <c r="E8" s="20"/>
      <c r="F8" s="20"/>
      <c r="G8" s="20"/>
    </row>
    <row r="9" spans="1:7" x14ac:dyDescent="0.3">
      <c r="A9" s="156" t="s">
        <v>22</v>
      </c>
      <c r="B9" s="158" t="s">
        <v>23</v>
      </c>
      <c r="C9" s="255" t="s">
        <v>24</v>
      </c>
      <c r="D9" s="256"/>
      <c r="E9" s="20"/>
      <c r="F9" s="20"/>
      <c r="G9" s="20"/>
    </row>
    <row r="10" spans="1:7" x14ac:dyDescent="0.3">
      <c r="A10" s="156" t="s">
        <v>25</v>
      </c>
      <c r="B10" s="158" t="s">
        <v>26</v>
      </c>
      <c r="C10" s="255" t="s">
        <v>199</v>
      </c>
      <c r="D10" s="256"/>
      <c r="E10" s="20"/>
      <c r="F10" s="20"/>
      <c r="G10" s="20"/>
    </row>
    <row r="11" spans="1:7" x14ac:dyDescent="0.3">
      <c r="A11" s="156" t="s">
        <v>27</v>
      </c>
      <c r="B11" s="158" t="s">
        <v>28</v>
      </c>
      <c r="C11" s="262">
        <f>Proposta!F5</f>
        <v>1</v>
      </c>
      <c r="D11" s="263"/>
      <c r="E11" s="20"/>
      <c r="F11" s="20"/>
      <c r="G11" s="20"/>
    </row>
    <row r="12" spans="1:7" x14ac:dyDescent="0.3">
      <c r="A12" s="156" t="s">
        <v>29</v>
      </c>
      <c r="B12" s="158" t="s">
        <v>30</v>
      </c>
      <c r="C12" s="264">
        <f>Proposta!H5</f>
        <v>24</v>
      </c>
      <c r="D12" s="265"/>
      <c r="E12" s="20"/>
      <c r="F12" s="20"/>
      <c r="G12" s="20"/>
    </row>
    <row r="13" spans="1:7" x14ac:dyDescent="0.3">
      <c r="A13" s="266"/>
      <c r="B13" s="267"/>
      <c r="C13" s="267"/>
      <c r="D13" s="267"/>
      <c r="E13" s="20"/>
      <c r="F13" s="20"/>
      <c r="G13" s="20"/>
    </row>
    <row r="14" spans="1:7" x14ac:dyDescent="0.3">
      <c r="A14" s="268" t="s">
        <v>31</v>
      </c>
      <c r="B14" s="269"/>
      <c r="C14" s="269"/>
      <c r="D14" s="270"/>
      <c r="E14" s="20"/>
      <c r="F14" s="20"/>
      <c r="G14" s="20"/>
    </row>
    <row r="15" spans="1:7" x14ac:dyDescent="0.3">
      <c r="A15" s="259" t="s">
        <v>32</v>
      </c>
      <c r="B15" s="259"/>
      <c r="C15" s="259"/>
      <c r="D15" s="259"/>
      <c r="E15" s="20"/>
      <c r="F15" s="20"/>
      <c r="G15" s="20"/>
    </row>
    <row r="16" spans="1:7" x14ac:dyDescent="0.3">
      <c r="A16" s="156">
        <v>1</v>
      </c>
      <c r="B16" s="158" t="s">
        <v>33</v>
      </c>
      <c r="C16" s="255" t="s">
        <v>1</v>
      </c>
      <c r="D16" s="256" t="s">
        <v>1</v>
      </c>
      <c r="E16" s="20"/>
      <c r="F16" s="20"/>
      <c r="G16" s="20"/>
    </row>
    <row r="17" spans="1:7" x14ac:dyDescent="0.3">
      <c r="A17" s="156"/>
      <c r="B17" s="147" t="s">
        <v>253</v>
      </c>
      <c r="C17" s="272">
        <v>2</v>
      </c>
      <c r="D17" s="265">
        <v>1</v>
      </c>
      <c r="E17" s="20"/>
      <c r="F17" s="20"/>
      <c r="G17" s="20"/>
    </row>
    <row r="18" spans="1:7" x14ac:dyDescent="0.3">
      <c r="A18" s="156">
        <v>2</v>
      </c>
      <c r="B18" s="24" t="s">
        <v>34</v>
      </c>
      <c r="C18" s="273" t="s">
        <v>200</v>
      </c>
      <c r="D18" s="274"/>
      <c r="E18" s="20"/>
      <c r="F18" s="20"/>
      <c r="G18" s="20"/>
    </row>
    <row r="19" spans="1:7" x14ac:dyDescent="0.3">
      <c r="A19" s="259" t="s">
        <v>35</v>
      </c>
      <c r="B19" s="259"/>
      <c r="C19" s="259"/>
      <c r="D19" s="259"/>
      <c r="E19" s="20"/>
      <c r="F19" s="20"/>
      <c r="G19" s="20"/>
    </row>
    <row r="20" spans="1:7" x14ac:dyDescent="0.3">
      <c r="A20" s="156">
        <v>3</v>
      </c>
      <c r="B20" s="275" t="s">
        <v>6</v>
      </c>
      <c r="C20" s="276"/>
      <c r="D20" s="173">
        <v>1664.83</v>
      </c>
      <c r="E20" s="20"/>
      <c r="F20" s="20"/>
      <c r="G20" s="20"/>
    </row>
    <row r="21" spans="1:7" x14ac:dyDescent="0.3">
      <c r="A21" s="156">
        <v>4</v>
      </c>
      <c r="B21" s="275" t="s">
        <v>36</v>
      </c>
      <c r="C21" s="276"/>
      <c r="D21" s="174" t="s">
        <v>201</v>
      </c>
      <c r="E21" s="20"/>
      <c r="F21" s="20"/>
      <c r="G21" s="20"/>
    </row>
    <row r="22" spans="1:7" x14ac:dyDescent="0.3">
      <c r="A22" s="156">
        <v>5</v>
      </c>
      <c r="B22" s="275" t="s">
        <v>5</v>
      </c>
      <c r="C22" s="276"/>
      <c r="D22" s="175">
        <v>44228</v>
      </c>
      <c r="E22" s="20"/>
      <c r="F22" s="20"/>
      <c r="G22" s="20"/>
    </row>
    <row r="23" spans="1:7" x14ac:dyDescent="0.3">
      <c r="A23" s="255"/>
      <c r="B23" s="277"/>
      <c r="C23" s="277"/>
      <c r="D23" s="256"/>
      <c r="E23" s="20"/>
      <c r="F23" s="20"/>
      <c r="G23" s="20"/>
    </row>
    <row r="24" spans="1:7" x14ac:dyDescent="0.3">
      <c r="A24" s="278" t="s">
        <v>37</v>
      </c>
      <c r="B24" s="278"/>
      <c r="C24" s="278"/>
      <c r="D24" s="278"/>
      <c r="E24" s="20"/>
      <c r="F24" s="20"/>
      <c r="G24" s="20"/>
    </row>
    <row r="25" spans="1:7" hidden="1" outlineLevel="1" x14ac:dyDescent="0.3">
      <c r="A25" s="272"/>
      <c r="B25" s="279"/>
      <c r="C25" s="279"/>
      <c r="D25" s="265"/>
      <c r="E25" s="20"/>
      <c r="F25" s="20"/>
      <c r="G25" s="20"/>
    </row>
    <row r="26" spans="1:7" hidden="1" outlineLevel="1" x14ac:dyDescent="0.3">
      <c r="A26" s="157">
        <v>1</v>
      </c>
      <c r="B26" s="280" t="s">
        <v>38</v>
      </c>
      <c r="C26" s="281"/>
      <c r="D26" s="157" t="s">
        <v>39</v>
      </c>
      <c r="E26" s="20"/>
      <c r="F26" s="20"/>
      <c r="G26" s="20"/>
    </row>
    <row r="27" spans="1:7" hidden="1" outlineLevel="1" x14ac:dyDescent="0.3">
      <c r="A27" s="156" t="s">
        <v>40</v>
      </c>
      <c r="B27" s="158" t="s">
        <v>245</v>
      </c>
      <c r="C27" s="167">
        <v>220</v>
      </c>
      <c r="D27" s="25">
        <f>D20/220*C27</f>
        <v>1664.83</v>
      </c>
      <c r="E27" s="20"/>
      <c r="F27" s="20"/>
      <c r="G27" s="20"/>
    </row>
    <row r="28" spans="1:7" hidden="1" outlineLevel="1" x14ac:dyDescent="0.3">
      <c r="A28" s="156" t="s">
        <v>19</v>
      </c>
      <c r="B28" s="158" t="s">
        <v>223</v>
      </c>
      <c r="C28" s="26">
        <v>0.3</v>
      </c>
      <c r="D28" s="25">
        <f>C28*D27</f>
        <v>499.44899999999996</v>
      </c>
      <c r="E28" s="20"/>
      <c r="F28" s="20"/>
      <c r="G28" s="20"/>
    </row>
    <row r="29" spans="1:7" hidden="1" outlineLevel="1" x14ac:dyDescent="0.3">
      <c r="A29" s="156" t="s">
        <v>20</v>
      </c>
      <c r="B29" s="158" t="s">
        <v>41</v>
      </c>
      <c r="C29" s="26">
        <v>0</v>
      </c>
      <c r="D29" s="25">
        <f>C29*D27</f>
        <v>0</v>
      </c>
      <c r="E29" s="20"/>
      <c r="F29" s="20"/>
      <c r="G29" s="20"/>
    </row>
    <row r="30" spans="1:7" hidden="1" outlineLevel="1" x14ac:dyDescent="0.3">
      <c r="A30" s="156" t="s">
        <v>22</v>
      </c>
      <c r="B30" s="158" t="s">
        <v>225</v>
      </c>
      <c r="C30" s="27">
        <v>15</v>
      </c>
      <c r="D30" s="28">
        <f>(D20/C27*C30)*1.5</f>
        <v>170.26670454545453</v>
      </c>
      <c r="E30" s="20"/>
      <c r="F30" s="20"/>
      <c r="G30" s="20"/>
    </row>
    <row r="31" spans="1:7" hidden="1" outlineLevel="1" x14ac:dyDescent="0.3">
      <c r="A31" s="156" t="s">
        <v>25</v>
      </c>
      <c r="B31" s="158" t="s">
        <v>247</v>
      </c>
      <c r="C31" s="185">
        <f>((D20/220*20%))</f>
        <v>1.5134818181818182</v>
      </c>
      <c r="D31" s="28">
        <f>C31*7*C30</f>
        <v>158.91559090909089</v>
      </c>
      <c r="E31" s="186"/>
      <c r="F31" s="20"/>
      <c r="G31" s="20"/>
    </row>
    <row r="32" spans="1:7" hidden="1" outlineLevel="1" x14ac:dyDescent="0.3">
      <c r="A32" s="156" t="s">
        <v>27</v>
      </c>
      <c r="B32" s="158" t="s">
        <v>246</v>
      </c>
      <c r="C32" s="185">
        <f>(D20/220*(7.5/60))</f>
        <v>0.94592613636363632</v>
      </c>
      <c r="D32" s="28">
        <f>C32*7*C30</f>
        <v>99.322244318181816</v>
      </c>
      <c r="E32" s="187"/>
      <c r="F32" s="20"/>
      <c r="G32" s="20"/>
    </row>
    <row r="33" spans="1:7" hidden="1" outlineLevel="1" x14ac:dyDescent="0.3">
      <c r="A33" s="156" t="s">
        <v>29</v>
      </c>
      <c r="B33" s="85" t="s">
        <v>42</v>
      </c>
      <c r="C33" s="86">
        <v>0</v>
      </c>
      <c r="D33" s="87">
        <v>0</v>
      </c>
      <c r="E33" s="20"/>
      <c r="F33" s="20"/>
      <c r="G33" s="20"/>
    </row>
    <row r="34" spans="1:7" collapsed="1" x14ac:dyDescent="0.3">
      <c r="A34" s="280" t="s">
        <v>43</v>
      </c>
      <c r="B34" s="282"/>
      <c r="C34" s="281"/>
      <c r="D34" s="29">
        <f>SUM(D27:D33)</f>
        <v>2592.7835397727272</v>
      </c>
      <c r="E34" s="20"/>
      <c r="F34" s="20"/>
      <c r="G34" s="20"/>
    </row>
    <row r="35" spans="1:7" x14ac:dyDescent="0.3">
      <c r="A35" s="271"/>
      <c r="B35" s="271"/>
      <c r="C35" s="271"/>
      <c r="D35" s="271"/>
      <c r="E35" s="20"/>
      <c r="F35" s="20"/>
      <c r="G35" s="20"/>
    </row>
    <row r="36" spans="1:7" x14ac:dyDescent="0.3">
      <c r="A36" s="286" t="s">
        <v>44</v>
      </c>
      <c r="B36" s="287"/>
      <c r="C36" s="287"/>
      <c r="D36" s="288"/>
      <c r="E36" s="20"/>
      <c r="F36" s="20"/>
      <c r="G36" s="20"/>
    </row>
    <row r="37" spans="1:7" hidden="1" outlineLevel="1" x14ac:dyDescent="0.3">
      <c r="A37" s="289"/>
      <c r="B37" s="290"/>
      <c r="C37" s="290"/>
      <c r="D37" s="291"/>
      <c r="E37" s="20"/>
      <c r="F37" s="20"/>
      <c r="G37" s="20"/>
    </row>
    <row r="38" spans="1:7" hidden="1" outlineLevel="1" x14ac:dyDescent="0.3">
      <c r="A38" s="30" t="s">
        <v>45</v>
      </c>
      <c r="B38" s="31" t="s">
        <v>46</v>
      </c>
      <c r="C38" s="30" t="s">
        <v>47</v>
      </c>
      <c r="D38" s="30" t="s">
        <v>39</v>
      </c>
      <c r="E38" s="20"/>
      <c r="F38" s="20"/>
      <c r="G38" s="20"/>
    </row>
    <row r="39" spans="1:7" hidden="1" outlineLevel="2" x14ac:dyDescent="0.3">
      <c r="A39" s="32" t="s">
        <v>40</v>
      </c>
      <c r="B39" s="33" t="s">
        <v>48</v>
      </c>
      <c r="C39" s="34">
        <f>1/12</f>
        <v>8.3333333333333329E-2</v>
      </c>
      <c r="D39" s="25">
        <f>C39*D34</f>
        <v>216.06529498106059</v>
      </c>
      <c r="E39" s="20"/>
      <c r="F39" s="20"/>
      <c r="G39" s="20"/>
    </row>
    <row r="40" spans="1:7" hidden="1" outlineLevel="2" x14ac:dyDescent="0.3">
      <c r="A40" s="32" t="s">
        <v>19</v>
      </c>
      <c r="B40" s="33" t="s">
        <v>197</v>
      </c>
      <c r="C40" s="34">
        <f>IF(C12&gt;60,(1/C12/3)*5,IF(C12&gt;48,(1/C12/3)*4,IF(C12&gt;36,(1/C12/3)*3,IF(C12&gt;24,(1/C12/3)*2,IF(C12&gt;12,(1/C12/3)*1,0)))))</f>
        <v>1.3888888888888888E-2</v>
      </c>
      <c r="D40" s="25">
        <f>C40*D34</f>
        <v>36.010882496843429</v>
      </c>
      <c r="E40" s="20"/>
      <c r="F40" s="20"/>
      <c r="G40" s="20"/>
    </row>
    <row r="41" spans="1:7" hidden="1" outlineLevel="2" x14ac:dyDescent="0.3">
      <c r="A41" s="35" t="s">
        <v>120</v>
      </c>
      <c r="B41" s="33" t="s">
        <v>121</v>
      </c>
      <c r="C41" s="162">
        <v>0</v>
      </c>
      <c r="D41" s="122">
        <f>-D40*(1/3)*(C41)</f>
        <v>0</v>
      </c>
      <c r="E41" s="20"/>
      <c r="F41" s="20"/>
      <c r="G41" s="20"/>
    </row>
    <row r="42" spans="1:7" hidden="1" outlineLevel="1" collapsed="1" x14ac:dyDescent="0.3">
      <c r="A42" s="292" t="s">
        <v>14</v>
      </c>
      <c r="B42" s="293"/>
      <c r="C42" s="36">
        <f>SUM(C39:C40)</f>
        <v>9.722222222222221E-2</v>
      </c>
      <c r="D42" s="37">
        <f>SUM(D39:D41)</f>
        <v>252.07617747790403</v>
      </c>
      <c r="E42" s="20"/>
      <c r="F42" s="20"/>
      <c r="G42" s="20"/>
    </row>
    <row r="43" spans="1:7" hidden="1" outlineLevel="1" x14ac:dyDescent="0.3">
      <c r="A43" s="289"/>
      <c r="B43" s="290"/>
      <c r="C43" s="290"/>
      <c r="D43" s="291"/>
      <c r="E43" s="20"/>
      <c r="F43" s="20"/>
      <c r="G43" s="20"/>
    </row>
    <row r="44" spans="1:7" hidden="1" outlineLevel="1" x14ac:dyDescent="0.3">
      <c r="A44" s="30" t="s">
        <v>49</v>
      </c>
      <c r="B44" s="38" t="s">
        <v>50</v>
      </c>
      <c r="C44" s="30" t="s">
        <v>47</v>
      </c>
      <c r="D44" s="39" t="s">
        <v>39</v>
      </c>
      <c r="E44" s="20"/>
      <c r="F44" s="20"/>
      <c r="G44" s="20"/>
    </row>
    <row r="45" spans="1:7" hidden="1" outlineLevel="2" x14ac:dyDescent="0.3">
      <c r="A45" s="159" t="s">
        <v>40</v>
      </c>
      <c r="B45" s="40" t="s">
        <v>51</v>
      </c>
      <c r="C45" s="41">
        <v>0.2</v>
      </c>
      <c r="D45" s="25">
        <f>C45*($D$34+$D$42)</f>
        <v>568.97194345012622</v>
      </c>
      <c r="E45" s="20"/>
      <c r="F45" s="20"/>
      <c r="G45" s="20"/>
    </row>
    <row r="46" spans="1:7" hidden="1" outlineLevel="2" x14ac:dyDescent="0.3">
      <c r="A46" s="159" t="s">
        <v>19</v>
      </c>
      <c r="B46" s="40" t="s">
        <v>52</v>
      </c>
      <c r="C46" s="41">
        <v>2.5000000000000001E-2</v>
      </c>
      <c r="D46" s="25">
        <f t="shared" ref="D46:D52" si="0">C46*($D$34+$D$42)</f>
        <v>71.121492931265777</v>
      </c>
      <c r="E46" s="20"/>
      <c r="F46" s="20"/>
      <c r="G46" s="20"/>
    </row>
    <row r="47" spans="1:7" hidden="1" outlineLevel="2" x14ac:dyDescent="0.3">
      <c r="A47" s="159" t="s">
        <v>20</v>
      </c>
      <c r="B47" s="40" t="s">
        <v>114</v>
      </c>
      <c r="C47" s="161">
        <v>0.03</v>
      </c>
      <c r="D47" s="25">
        <f t="shared" si="0"/>
        <v>85.345791517518933</v>
      </c>
      <c r="E47" s="20"/>
      <c r="F47" s="20"/>
      <c r="G47" s="20"/>
    </row>
    <row r="48" spans="1:7" hidden="1" outlineLevel="2" x14ac:dyDescent="0.3">
      <c r="A48" s="159" t="s">
        <v>22</v>
      </c>
      <c r="B48" s="40" t="s">
        <v>232</v>
      </c>
      <c r="C48" s="41">
        <v>1.4999999999999999E-2</v>
      </c>
      <c r="D48" s="25">
        <f t="shared" si="0"/>
        <v>42.672895758759466</v>
      </c>
      <c r="E48" s="20"/>
      <c r="F48" s="20"/>
      <c r="G48" s="20"/>
    </row>
    <row r="49" spans="1:7" hidden="1" outlineLevel="2" x14ac:dyDescent="0.3">
      <c r="A49" s="159" t="s">
        <v>25</v>
      </c>
      <c r="B49" s="40" t="s">
        <v>233</v>
      </c>
      <c r="C49" s="41">
        <v>0.01</v>
      </c>
      <c r="D49" s="25">
        <f>C49*($D$34+$D$42)</f>
        <v>28.448597172506311</v>
      </c>
      <c r="E49" s="20"/>
      <c r="F49" s="20"/>
      <c r="G49" s="20"/>
    </row>
    <row r="50" spans="1:7" hidden="1" outlineLevel="2" x14ac:dyDescent="0.3">
      <c r="A50" s="159" t="s">
        <v>27</v>
      </c>
      <c r="B50" s="40" t="s">
        <v>53</v>
      </c>
      <c r="C50" s="41">
        <v>6.0000000000000001E-3</v>
      </c>
      <c r="D50" s="25">
        <f>C50*($D$34+$D$42)</f>
        <v>17.069158303503787</v>
      </c>
      <c r="E50" s="20"/>
      <c r="F50" s="20"/>
      <c r="G50" s="20"/>
    </row>
    <row r="51" spans="1:7" hidden="1" outlineLevel="2" x14ac:dyDescent="0.3">
      <c r="A51" s="159" t="s">
        <v>29</v>
      </c>
      <c r="B51" s="40" t="s">
        <v>54</v>
      </c>
      <c r="C51" s="41">
        <v>2E-3</v>
      </c>
      <c r="D51" s="25">
        <f t="shared" si="0"/>
        <v>5.6897194345012627</v>
      </c>
      <c r="E51" s="20"/>
      <c r="F51" s="20"/>
      <c r="G51" s="20"/>
    </row>
    <row r="52" spans="1:7" hidden="1" outlineLevel="2" x14ac:dyDescent="0.3">
      <c r="A52" s="159" t="s">
        <v>55</v>
      </c>
      <c r="B52" s="40" t="s">
        <v>56</v>
      </c>
      <c r="C52" s="41">
        <v>0.08</v>
      </c>
      <c r="D52" s="25">
        <f t="shared" si="0"/>
        <v>227.58877738005049</v>
      </c>
      <c r="E52" s="20"/>
      <c r="F52" s="20"/>
      <c r="G52" s="20"/>
    </row>
    <row r="53" spans="1:7" hidden="1" outlineLevel="1" collapsed="1" x14ac:dyDescent="0.3">
      <c r="A53" s="292" t="s">
        <v>14</v>
      </c>
      <c r="B53" s="293"/>
      <c r="C53" s="42">
        <f>SUM(C45:C52)</f>
        <v>0.36800000000000005</v>
      </c>
      <c r="D53" s="43">
        <f>SUM(D45:D52)</f>
        <v>1046.9083759482321</v>
      </c>
      <c r="E53" s="20"/>
      <c r="F53" s="20"/>
      <c r="G53" s="20"/>
    </row>
    <row r="54" spans="1:7" hidden="1" outlineLevel="1" x14ac:dyDescent="0.3">
      <c r="A54" s="289"/>
      <c r="B54" s="290"/>
      <c r="C54" s="290"/>
      <c r="D54" s="291"/>
      <c r="E54" s="20"/>
      <c r="F54" s="20"/>
      <c r="G54" s="20"/>
    </row>
    <row r="55" spans="1:7" hidden="1" outlineLevel="1" x14ac:dyDescent="0.3">
      <c r="A55" s="30" t="s">
        <v>57</v>
      </c>
      <c r="B55" s="38" t="s">
        <v>58</v>
      </c>
      <c r="C55" s="30" t="s">
        <v>59</v>
      </c>
      <c r="D55" s="30" t="s">
        <v>39</v>
      </c>
      <c r="E55" s="20"/>
      <c r="F55" s="20"/>
      <c r="G55" s="20"/>
    </row>
    <row r="56" spans="1:7" hidden="1" outlineLevel="2" x14ac:dyDescent="0.3">
      <c r="A56" s="159" t="s">
        <v>40</v>
      </c>
      <c r="B56" s="40" t="s">
        <v>60</v>
      </c>
      <c r="C56" s="44">
        <v>0</v>
      </c>
      <c r="D56" s="45">
        <f>IF((C30*2*C56)-(D27*6%)&lt;0,0,(C30*2*C56)-(D27*6%))</f>
        <v>0</v>
      </c>
      <c r="E56" s="82"/>
      <c r="F56" s="20"/>
      <c r="G56" s="20"/>
    </row>
    <row r="57" spans="1:7" hidden="1" outlineLevel="2" x14ac:dyDescent="0.3">
      <c r="A57" s="159" t="s">
        <v>19</v>
      </c>
      <c r="B57" s="40" t="s">
        <v>61</v>
      </c>
      <c r="C57" s="83">
        <v>27.6</v>
      </c>
      <c r="D57" s="45">
        <f>C57*C30</f>
        <v>414</v>
      </c>
      <c r="E57" s="20"/>
      <c r="F57" s="20"/>
      <c r="G57" s="20"/>
    </row>
    <row r="58" spans="1:7" hidden="1" outlineLevel="2" x14ac:dyDescent="0.3">
      <c r="A58" s="73" t="s">
        <v>97</v>
      </c>
      <c r="B58" s="40" t="s">
        <v>98</v>
      </c>
      <c r="C58" s="84">
        <v>-0.2</v>
      </c>
      <c r="D58" s="122">
        <f>D57*C58</f>
        <v>-82.800000000000011</v>
      </c>
      <c r="E58" s="20"/>
      <c r="F58" s="20"/>
      <c r="G58" s="20"/>
    </row>
    <row r="59" spans="1:7" hidden="1" outlineLevel="2" x14ac:dyDescent="0.3">
      <c r="A59" s="159" t="s">
        <v>20</v>
      </c>
      <c r="B59" s="176" t="s">
        <v>229</v>
      </c>
      <c r="C59" s="169">
        <v>6.0000000000000001E-3</v>
      </c>
      <c r="D59" s="177">
        <f>C59*D27</f>
        <v>9.9889799999999997</v>
      </c>
      <c r="E59" s="20"/>
      <c r="F59" s="20"/>
      <c r="G59" s="20"/>
    </row>
    <row r="60" spans="1:7" hidden="1" outlineLevel="2" x14ac:dyDescent="0.3">
      <c r="A60" s="159" t="s">
        <v>22</v>
      </c>
      <c r="B60" s="178" t="s">
        <v>228</v>
      </c>
      <c r="C60" s="168">
        <v>14</v>
      </c>
      <c r="D60" s="177">
        <f>C60</f>
        <v>14</v>
      </c>
      <c r="E60" s="20"/>
      <c r="F60" s="20"/>
      <c r="G60" s="20"/>
    </row>
    <row r="61" spans="1:7" hidden="1" outlineLevel="2" x14ac:dyDescent="0.3">
      <c r="A61" s="159" t="s">
        <v>25</v>
      </c>
      <c r="B61" s="176" t="s">
        <v>167</v>
      </c>
      <c r="C61" s="169">
        <v>7.0000000000000007E-2</v>
      </c>
      <c r="D61" s="177">
        <f>C61*D34</f>
        <v>181.49484778409092</v>
      </c>
      <c r="E61" s="20"/>
      <c r="F61" s="20"/>
      <c r="G61" s="20"/>
    </row>
    <row r="62" spans="1:7" hidden="1" outlineLevel="2" x14ac:dyDescent="0.3">
      <c r="A62" s="159" t="s">
        <v>27</v>
      </c>
      <c r="B62" s="176" t="s">
        <v>42</v>
      </c>
      <c r="C62" s="84"/>
      <c r="D62" s="177"/>
      <c r="E62" s="20"/>
      <c r="F62" s="20"/>
      <c r="G62" s="20"/>
    </row>
    <row r="63" spans="1:7" hidden="1" outlineLevel="2" x14ac:dyDescent="0.3">
      <c r="A63" s="159" t="s">
        <v>29</v>
      </c>
      <c r="B63" s="176" t="s">
        <v>42</v>
      </c>
      <c r="C63" s="83"/>
      <c r="D63" s="179">
        <f>C63</f>
        <v>0</v>
      </c>
      <c r="E63" s="20"/>
      <c r="F63" s="20"/>
      <c r="G63" s="20"/>
    </row>
    <row r="64" spans="1:7" hidden="1" outlineLevel="1" collapsed="1" x14ac:dyDescent="0.3">
      <c r="A64" s="292" t="s">
        <v>62</v>
      </c>
      <c r="B64" s="294"/>
      <c r="C64" s="293"/>
      <c r="D64" s="37">
        <f>SUM(D56:D63)</f>
        <v>536.68382778409091</v>
      </c>
      <c r="E64" s="20"/>
      <c r="F64" s="20"/>
      <c r="G64" s="20"/>
    </row>
    <row r="65" spans="1:7" hidden="1" outlineLevel="1" x14ac:dyDescent="0.3">
      <c r="A65" s="289"/>
      <c r="B65" s="290"/>
      <c r="C65" s="290"/>
      <c r="D65" s="291"/>
      <c r="E65" s="20"/>
      <c r="F65" s="20"/>
      <c r="G65" s="20"/>
    </row>
    <row r="66" spans="1:7" hidden="1" outlineLevel="1" x14ac:dyDescent="0.3">
      <c r="A66" s="295" t="s">
        <v>63</v>
      </c>
      <c r="B66" s="296"/>
      <c r="C66" s="30" t="s">
        <v>47</v>
      </c>
      <c r="D66" s="30" t="s">
        <v>39</v>
      </c>
      <c r="E66" s="20"/>
      <c r="F66" s="20"/>
      <c r="G66" s="20"/>
    </row>
    <row r="67" spans="1:7" hidden="1" outlineLevel="1" x14ac:dyDescent="0.3">
      <c r="A67" s="159" t="s">
        <v>64</v>
      </c>
      <c r="B67" s="40" t="s">
        <v>46</v>
      </c>
      <c r="C67" s="46">
        <f>C42</f>
        <v>9.722222222222221E-2</v>
      </c>
      <c r="D67" s="25">
        <f>D42</f>
        <v>252.07617747790403</v>
      </c>
      <c r="E67" s="20"/>
      <c r="F67" s="20"/>
      <c r="G67" s="20"/>
    </row>
    <row r="68" spans="1:7" hidden="1" outlineLevel="1" x14ac:dyDescent="0.3">
      <c r="A68" s="159" t="s">
        <v>49</v>
      </c>
      <c r="B68" s="40" t="s">
        <v>50</v>
      </c>
      <c r="C68" s="46">
        <f>C53</f>
        <v>0.36800000000000005</v>
      </c>
      <c r="D68" s="25">
        <f>D53</f>
        <v>1046.9083759482321</v>
      </c>
      <c r="E68" s="20"/>
      <c r="F68" s="20"/>
      <c r="G68" s="20"/>
    </row>
    <row r="69" spans="1:7" hidden="1" outlineLevel="1" x14ac:dyDescent="0.3">
      <c r="A69" s="159" t="s">
        <v>65</v>
      </c>
      <c r="B69" s="40" t="s">
        <v>58</v>
      </c>
      <c r="C69" s="46">
        <f>D64/D34</f>
        <v>0.20699137415502661</v>
      </c>
      <c r="D69" s="25">
        <f>D64</f>
        <v>536.68382778409091</v>
      </c>
      <c r="E69" s="20"/>
      <c r="F69" s="20"/>
      <c r="G69" s="20"/>
    </row>
    <row r="70" spans="1:7" collapsed="1" x14ac:dyDescent="0.3">
      <c r="A70" s="292" t="s">
        <v>14</v>
      </c>
      <c r="B70" s="294"/>
      <c r="C70" s="293"/>
      <c r="D70" s="37">
        <f>SUM(D67:D69)</f>
        <v>1835.6683812102272</v>
      </c>
      <c r="E70" s="20"/>
      <c r="F70" s="20"/>
      <c r="G70" s="20"/>
    </row>
    <row r="71" spans="1:7" x14ac:dyDescent="0.3">
      <c r="A71" s="289"/>
      <c r="B71" s="290"/>
      <c r="C71" s="290"/>
      <c r="D71" s="291"/>
      <c r="E71" s="20"/>
      <c r="F71" s="20"/>
      <c r="G71" s="20"/>
    </row>
    <row r="72" spans="1:7" x14ac:dyDescent="0.3">
      <c r="A72" s="283" t="s">
        <v>126</v>
      </c>
      <c r="B72" s="284"/>
      <c r="C72" s="284"/>
      <c r="D72" s="285"/>
      <c r="E72" s="20"/>
      <c r="F72" s="20"/>
      <c r="G72" s="20"/>
    </row>
    <row r="73" spans="1:7" hidden="1" outlineLevel="1" x14ac:dyDescent="0.3">
      <c r="A73" s="289"/>
      <c r="B73" s="290"/>
      <c r="C73" s="290"/>
      <c r="D73" s="291"/>
      <c r="E73" s="20"/>
      <c r="F73" s="20"/>
      <c r="G73" s="20"/>
    </row>
    <row r="74" spans="1:7" hidden="1" outlineLevel="1" x14ac:dyDescent="0.3">
      <c r="A74" s="157" t="s">
        <v>129</v>
      </c>
      <c r="B74" s="31" t="s">
        <v>130</v>
      </c>
      <c r="C74" s="30" t="s">
        <v>47</v>
      </c>
      <c r="D74" s="30" t="s">
        <v>39</v>
      </c>
      <c r="E74" s="20"/>
      <c r="F74" s="20"/>
      <c r="G74" s="20"/>
    </row>
    <row r="75" spans="1:7" hidden="1" outlineLevel="2" x14ac:dyDescent="0.3">
      <c r="A75" s="47" t="s">
        <v>40</v>
      </c>
      <c r="B75" s="48" t="s">
        <v>131</v>
      </c>
      <c r="C75" s="47" t="s">
        <v>132</v>
      </c>
      <c r="D75" s="49">
        <f>IF(C86&gt;1,SUM(D76:D79)*2,SUM(D76:D79))</f>
        <v>3653.8081816597228</v>
      </c>
      <c r="E75" s="20"/>
      <c r="F75" s="20"/>
      <c r="G75" s="20"/>
    </row>
    <row r="76" spans="1:7" hidden="1" outlineLevel="2" x14ac:dyDescent="0.3">
      <c r="A76" s="50" t="s">
        <v>128</v>
      </c>
      <c r="B76" s="51" t="s">
        <v>133</v>
      </c>
      <c r="C76" s="47">
        <f>(IF(C12&gt;60,45,IF(C12&gt;48,42,IF(C12&gt;36,39,IF(C12&gt;24,36,IF(C12&gt;12,33,30)))))/30)</f>
        <v>1.1000000000000001</v>
      </c>
      <c r="D76" s="49">
        <f>D34*C76</f>
        <v>2852.0618937500003</v>
      </c>
      <c r="E76" s="20"/>
      <c r="F76" s="20"/>
      <c r="G76" s="20"/>
    </row>
    <row r="77" spans="1:7" hidden="1" outlineLevel="2" x14ac:dyDescent="0.3">
      <c r="A77" s="50" t="s">
        <v>142</v>
      </c>
      <c r="B77" s="51" t="s">
        <v>134</v>
      </c>
      <c r="C77" s="34">
        <f>1/12</f>
        <v>8.3333333333333329E-2</v>
      </c>
      <c r="D77" s="49">
        <f>C77*D76</f>
        <v>237.67182447916667</v>
      </c>
      <c r="E77" s="20"/>
      <c r="F77" s="20"/>
      <c r="G77" s="20"/>
    </row>
    <row r="78" spans="1:7" hidden="1" outlineLevel="2" x14ac:dyDescent="0.3">
      <c r="A78" s="50" t="s">
        <v>143</v>
      </c>
      <c r="B78" s="51" t="s">
        <v>135</v>
      </c>
      <c r="C78" s="34">
        <f>(1/12)+(1/12/3)</f>
        <v>0.1111111111111111</v>
      </c>
      <c r="D78" s="52">
        <f>C78*D76</f>
        <v>316.89576597222225</v>
      </c>
      <c r="E78" s="20"/>
      <c r="F78" s="20"/>
      <c r="G78" s="20"/>
    </row>
    <row r="79" spans="1:7" hidden="1" outlineLevel="2" x14ac:dyDescent="0.3">
      <c r="A79" s="50" t="s">
        <v>144</v>
      </c>
      <c r="B79" s="51" t="s">
        <v>136</v>
      </c>
      <c r="C79" s="53">
        <v>0.08</v>
      </c>
      <c r="D79" s="49">
        <f>SUM(D76:D77)*C79</f>
        <v>247.17869745833337</v>
      </c>
      <c r="E79" s="20"/>
      <c r="F79" s="20"/>
      <c r="G79" s="20"/>
    </row>
    <row r="80" spans="1:7" hidden="1" outlineLevel="2" x14ac:dyDescent="0.3">
      <c r="A80" s="47" t="s">
        <v>19</v>
      </c>
      <c r="B80" s="48" t="s">
        <v>137</v>
      </c>
      <c r="C80" s="54">
        <v>0.4</v>
      </c>
      <c r="D80" s="49">
        <f>C80*D81</f>
        <v>2184.8522628484843</v>
      </c>
      <c r="E80" s="20"/>
      <c r="F80" s="20"/>
      <c r="G80" s="20"/>
    </row>
    <row r="81" spans="1:7" hidden="1" outlineLevel="2" x14ac:dyDescent="0.3">
      <c r="A81" s="47" t="s">
        <v>120</v>
      </c>
      <c r="B81" s="48" t="s">
        <v>138</v>
      </c>
      <c r="C81" s="54">
        <f>C52</f>
        <v>0.08</v>
      </c>
      <c r="D81" s="49">
        <f>C81*D82</f>
        <v>5462.1306571212108</v>
      </c>
      <c r="E81" s="20"/>
      <c r="F81" s="20"/>
      <c r="G81" s="20"/>
    </row>
    <row r="82" spans="1:7" hidden="1" outlineLevel="2" x14ac:dyDescent="0.3">
      <c r="A82" s="47" t="s">
        <v>145</v>
      </c>
      <c r="B82" s="55" t="s">
        <v>102</v>
      </c>
      <c r="C82" s="56" t="s">
        <v>132</v>
      </c>
      <c r="D82" s="52">
        <f>SUM(D83:D85)</f>
        <v>68276.633214015135</v>
      </c>
      <c r="E82" s="20"/>
      <c r="F82" s="20"/>
      <c r="G82" s="20"/>
    </row>
    <row r="83" spans="1:7" hidden="1" outlineLevel="2" x14ac:dyDescent="0.3">
      <c r="A83" s="50" t="s">
        <v>146</v>
      </c>
      <c r="B83" s="51" t="s">
        <v>139</v>
      </c>
      <c r="C83" s="57">
        <f>C12-C85</f>
        <v>23</v>
      </c>
      <c r="D83" s="49">
        <f>D34*C83</f>
        <v>59634.021414772724</v>
      </c>
      <c r="E83" s="20"/>
      <c r="F83" s="20"/>
      <c r="G83" s="20"/>
    </row>
    <row r="84" spans="1:7" hidden="1" outlineLevel="2" x14ac:dyDescent="0.3">
      <c r="A84" s="50" t="s">
        <v>147</v>
      </c>
      <c r="B84" s="51" t="s">
        <v>140</v>
      </c>
      <c r="C84" s="58">
        <f>C12/12</f>
        <v>2</v>
      </c>
      <c r="D84" s="49">
        <f>D34*C84</f>
        <v>5185.5670795454544</v>
      </c>
      <c r="E84" s="20"/>
      <c r="F84" s="20"/>
      <c r="G84" s="20"/>
    </row>
    <row r="85" spans="1:7" hidden="1" outlineLevel="2" x14ac:dyDescent="0.3">
      <c r="A85" s="50" t="s">
        <v>148</v>
      </c>
      <c r="B85" s="51" t="s">
        <v>141</v>
      </c>
      <c r="C85" s="56">
        <f>IF(C12&gt;60,5,IF(C12&gt;48,4,IF(C12&gt;36,3,IF(C12&gt;24,2,IF(C12&gt;12,1,0)))))</f>
        <v>1</v>
      </c>
      <c r="D85" s="52">
        <f>D34*C85*1.33333333333333</f>
        <v>3457.0447196969608</v>
      </c>
      <c r="E85" s="20"/>
      <c r="F85" s="20"/>
      <c r="G85" s="20"/>
    </row>
    <row r="86" spans="1:7" hidden="1" outlineLevel="1" collapsed="1" x14ac:dyDescent="0.3">
      <c r="A86" s="292" t="s">
        <v>14</v>
      </c>
      <c r="B86" s="293"/>
      <c r="C86" s="163">
        <v>0.1</v>
      </c>
      <c r="D86" s="37">
        <f>IF(C86&gt;1,D75+D80,(D75+D80)*C86)</f>
        <v>583.86604445082071</v>
      </c>
      <c r="E86" s="20"/>
      <c r="F86" s="20"/>
      <c r="G86" s="20"/>
    </row>
    <row r="87" spans="1:7" hidden="1" outlineLevel="1" x14ac:dyDescent="0.3">
      <c r="A87" s="297"/>
      <c r="B87" s="298"/>
      <c r="C87" s="298"/>
      <c r="D87" s="299"/>
      <c r="E87" s="20"/>
      <c r="F87" s="20"/>
      <c r="G87" s="20"/>
    </row>
    <row r="88" spans="1:7" hidden="1" outlineLevel="1" x14ac:dyDescent="0.3">
      <c r="A88" s="157" t="s">
        <v>155</v>
      </c>
      <c r="B88" s="31" t="s">
        <v>154</v>
      </c>
      <c r="C88" s="30" t="s">
        <v>47</v>
      </c>
      <c r="D88" s="30" t="s">
        <v>39</v>
      </c>
      <c r="E88" s="20"/>
      <c r="F88" s="20"/>
      <c r="G88" s="20"/>
    </row>
    <row r="89" spans="1:7" hidden="1" outlineLevel="2" x14ac:dyDescent="0.3">
      <c r="A89" s="47" t="s">
        <v>40</v>
      </c>
      <c r="B89" s="55" t="s">
        <v>149</v>
      </c>
      <c r="C89" s="59">
        <f>IF(C98&gt;1,(1/30*7)*2,(1/30*7))</f>
        <v>0.23333333333333334</v>
      </c>
      <c r="D89" s="52">
        <f>C89*SUM(D90:D94)</f>
        <v>1089.0310885304712</v>
      </c>
      <c r="E89" s="20"/>
      <c r="F89" s="20"/>
      <c r="G89" s="20"/>
    </row>
    <row r="90" spans="1:7" hidden="1" outlineLevel="2" x14ac:dyDescent="0.3">
      <c r="A90" s="50" t="s">
        <v>128</v>
      </c>
      <c r="B90" s="51" t="s">
        <v>150</v>
      </c>
      <c r="C90" s="47">
        <v>1</v>
      </c>
      <c r="D90" s="49">
        <f>D34</f>
        <v>2592.7835397727272</v>
      </c>
      <c r="E90" s="20"/>
      <c r="F90" s="20"/>
      <c r="G90" s="20"/>
    </row>
    <row r="91" spans="1:7" hidden="1" outlineLevel="2" x14ac:dyDescent="0.3">
      <c r="A91" s="50" t="s">
        <v>142</v>
      </c>
      <c r="B91" s="51" t="s">
        <v>151</v>
      </c>
      <c r="C91" s="34">
        <f>1/12</f>
        <v>8.3333333333333329E-2</v>
      </c>
      <c r="D91" s="49">
        <f>C91*D90</f>
        <v>216.06529498106059</v>
      </c>
      <c r="E91" s="20"/>
      <c r="F91" s="20"/>
      <c r="G91" s="20"/>
    </row>
    <row r="92" spans="1:7" hidden="1" outlineLevel="2" x14ac:dyDescent="0.3">
      <c r="A92" s="50" t="s">
        <v>143</v>
      </c>
      <c r="B92" s="51" t="s">
        <v>152</v>
      </c>
      <c r="C92" s="34">
        <f>(1/12)+(1/12/3)</f>
        <v>0.1111111111111111</v>
      </c>
      <c r="D92" s="49">
        <f>C92*D90</f>
        <v>288.08705997474743</v>
      </c>
      <c r="E92" s="20"/>
      <c r="F92" s="20"/>
      <c r="G92" s="20"/>
    </row>
    <row r="93" spans="1:7" hidden="1" outlineLevel="2" x14ac:dyDescent="0.3">
      <c r="A93" s="50" t="s">
        <v>144</v>
      </c>
      <c r="B93" s="60" t="s">
        <v>66</v>
      </c>
      <c r="C93" s="61">
        <f>C53</f>
        <v>0.36800000000000005</v>
      </c>
      <c r="D93" s="52">
        <f>C93*(D90+D91)</f>
        <v>1033.6563711893941</v>
      </c>
      <c r="E93" s="20"/>
      <c r="F93" s="20"/>
      <c r="G93" s="20"/>
    </row>
    <row r="94" spans="1:7" hidden="1" outlineLevel="2" x14ac:dyDescent="0.3">
      <c r="A94" s="50" t="s">
        <v>156</v>
      </c>
      <c r="B94" s="60" t="s">
        <v>153</v>
      </c>
      <c r="C94" s="62">
        <v>1</v>
      </c>
      <c r="D94" s="52">
        <f>D64</f>
        <v>536.68382778409091</v>
      </c>
      <c r="E94" s="20"/>
      <c r="F94" s="20"/>
      <c r="G94" s="20"/>
    </row>
    <row r="95" spans="1:7" hidden="1" outlineLevel="2" x14ac:dyDescent="0.3">
      <c r="A95" s="47" t="s">
        <v>19</v>
      </c>
      <c r="B95" s="48" t="s">
        <v>220</v>
      </c>
      <c r="C95" s="54">
        <v>0.4</v>
      </c>
      <c r="D95" s="49">
        <f>C95*D96</f>
        <v>2184.8522628484843</v>
      </c>
      <c r="E95" s="63"/>
      <c r="F95" s="20"/>
      <c r="G95" s="20"/>
    </row>
    <row r="96" spans="1:7" hidden="1" outlineLevel="2" x14ac:dyDescent="0.3">
      <c r="A96" s="47" t="s">
        <v>120</v>
      </c>
      <c r="B96" s="48" t="s">
        <v>138</v>
      </c>
      <c r="C96" s="54">
        <f>C52</f>
        <v>0.08</v>
      </c>
      <c r="D96" s="49">
        <f>C96*D97</f>
        <v>5462.1306571212108</v>
      </c>
      <c r="E96" s="20"/>
      <c r="F96" s="20"/>
      <c r="G96" s="20"/>
    </row>
    <row r="97" spans="1:7" hidden="1" outlineLevel="2" x14ac:dyDescent="0.3">
      <c r="A97" s="47" t="s">
        <v>145</v>
      </c>
      <c r="B97" s="55" t="s">
        <v>102</v>
      </c>
      <c r="C97" s="56" t="s">
        <v>132</v>
      </c>
      <c r="D97" s="52">
        <f>D82</f>
        <v>68276.633214015135</v>
      </c>
      <c r="E97" s="20"/>
      <c r="F97" s="20"/>
      <c r="G97" s="20"/>
    </row>
    <row r="98" spans="1:7" hidden="1" outlineLevel="1" collapsed="1" x14ac:dyDescent="0.3">
      <c r="A98" s="292" t="s">
        <v>14</v>
      </c>
      <c r="B98" s="293"/>
      <c r="C98" s="163">
        <v>0.9</v>
      </c>
      <c r="D98" s="37">
        <f>IF(C98&gt;1,D89+D95,(D89+D95)*C98)</f>
        <v>2946.4950162410601</v>
      </c>
      <c r="E98" s="20"/>
      <c r="F98" s="20"/>
      <c r="G98" s="20"/>
    </row>
    <row r="99" spans="1:7" hidden="1" outlineLevel="1" x14ac:dyDescent="0.3">
      <c r="A99" s="297"/>
      <c r="B99" s="298"/>
      <c r="C99" s="298"/>
      <c r="D99" s="299"/>
      <c r="E99" s="20"/>
      <c r="F99" s="20"/>
      <c r="G99" s="20"/>
    </row>
    <row r="100" spans="1:7" hidden="1" outlineLevel="1" x14ac:dyDescent="0.3">
      <c r="A100" s="157" t="s">
        <v>160</v>
      </c>
      <c r="B100" s="31" t="s">
        <v>165</v>
      </c>
      <c r="C100" s="30" t="s">
        <v>47</v>
      </c>
      <c r="D100" s="30" t="s">
        <v>39</v>
      </c>
      <c r="E100" s="20"/>
      <c r="F100" s="20"/>
      <c r="G100" s="20"/>
    </row>
    <row r="101" spans="1:7" hidden="1" outlineLevel="2" x14ac:dyDescent="0.3">
      <c r="A101" s="159" t="s">
        <v>40</v>
      </c>
      <c r="B101" s="40" t="s">
        <v>162</v>
      </c>
      <c r="C101" s="46">
        <f>IF(C12&gt;60,(D34/12*(C12-60))/C12/D34,IF(C12&gt;48,(D34/12*(C12-48))/C12/D34,IF(C12&gt;36,(D34/12*(C12-36))/C12/D34,IF(C12&gt;24,(D34/12*(C12-24))/C12/D34,IF(C12&gt;12,((D34/12*(C12-12))/C12/D34),1/12)))))</f>
        <v>4.1666666666666664E-2</v>
      </c>
      <c r="D101" s="64">
        <f>C101*D34</f>
        <v>108.03264749053029</v>
      </c>
      <c r="E101" s="20"/>
      <c r="F101" s="20"/>
      <c r="G101" s="20"/>
    </row>
    <row r="102" spans="1:7" hidden="1" outlineLevel="2" x14ac:dyDescent="0.3">
      <c r="A102" s="159" t="s">
        <v>19</v>
      </c>
      <c r="B102" s="65" t="s">
        <v>163</v>
      </c>
      <c r="C102" s="46">
        <f>C101/3</f>
        <v>1.3888888888888888E-2</v>
      </c>
      <c r="D102" s="66">
        <f>C102*D34</f>
        <v>36.010882496843429</v>
      </c>
      <c r="E102" s="20"/>
      <c r="F102" s="20"/>
      <c r="G102" s="20"/>
    </row>
    <row r="103" spans="1:7" hidden="1" outlineLevel="2" x14ac:dyDescent="0.3">
      <c r="A103" s="159" t="s">
        <v>20</v>
      </c>
      <c r="B103" s="67" t="s">
        <v>166</v>
      </c>
      <c r="C103" s="71">
        <f>C41</f>
        <v>0</v>
      </c>
      <c r="D103" s="25">
        <f>-D41*4</f>
        <v>0</v>
      </c>
      <c r="E103" s="20"/>
      <c r="F103" s="20"/>
      <c r="G103" s="20"/>
    </row>
    <row r="104" spans="1:7" ht="15.75" hidden="1" customHeight="1" outlineLevel="1" collapsed="1" x14ac:dyDescent="0.3">
      <c r="A104" s="292" t="s">
        <v>14</v>
      </c>
      <c r="B104" s="293"/>
      <c r="C104" s="36">
        <f>C101+C102+(D103/D34)</f>
        <v>5.5555555555555552E-2</v>
      </c>
      <c r="D104" s="37">
        <f>SUM(D101:D103)</f>
        <v>144.04352998737372</v>
      </c>
      <c r="E104" s="20"/>
      <c r="F104" s="20"/>
      <c r="G104" s="20"/>
    </row>
    <row r="105" spans="1:7" hidden="1" outlineLevel="1" x14ac:dyDescent="0.3">
      <c r="A105" s="297"/>
      <c r="B105" s="298"/>
      <c r="C105" s="298"/>
      <c r="D105" s="299"/>
      <c r="E105" s="63"/>
      <c r="F105" s="20"/>
      <c r="G105" s="20"/>
    </row>
    <row r="106" spans="1:7" hidden="1" outlineLevel="1" x14ac:dyDescent="0.3">
      <c r="A106" s="295" t="s">
        <v>161</v>
      </c>
      <c r="B106" s="296"/>
      <c r="C106" s="30" t="s">
        <v>47</v>
      </c>
      <c r="D106" s="30" t="s">
        <v>39</v>
      </c>
      <c r="E106" s="63"/>
      <c r="F106" s="20"/>
      <c r="G106" s="20"/>
    </row>
    <row r="107" spans="1:7" hidden="1" outlineLevel="1" x14ac:dyDescent="0.3">
      <c r="A107" s="159" t="s">
        <v>129</v>
      </c>
      <c r="B107" s="40" t="s">
        <v>130</v>
      </c>
      <c r="C107" s="46">
        <f>C86</f>
        <v>0.1</v>
      </c>
      <c r="D107" s="25">
        <f>D86</f>
        <v>583.86604445082071</v>
      </c>
      <c r="E107" s="63"/>
      <c r="F107" s="20"/>
      <c r="G107" s="20"/>
    </row>
    <row r="108" spans="1:7" hidden="1" outlineLevel="1" x14ac:dyDescent="0.3">
      <c r="A108" s="32" t="s">
        <v>155</v>
      </c>
      <c r="B108" s="40" t="s">
        <v>154</v>
      </c>
      <c r="C108" s="68">
        <f>C98</f>
        <v>0.9</v>
      </c>
      <c r="D108" s="25">
        <f>D98</f>
        <v>2946.4950162410601</v>
      </c>
      <c r="E108" s="63"/>
      <c r="F108" s="20"/>
      <c r="G108" s="20"/>
    </row>
    <row r="109" spans="1:7" hidden="1" outlineLevel="1" x14ac:dyDescent="0.3">
      <c r="A109" s="300" t="s">
        <v>164</v>
      </c>
      <c r="B109" s="300"/>
      <c r="C109" s="300"/>
      <c r="D109" s="69">
        <f>D107+D108</f>
        <v>3530.361060691881</v>
      </c>
      <c r="E109" s="63"/>
      <c r="F109" s="20"/>
      <c r="G109" s="20"/>
    </row>
    <row r="110" spans="1:7" hidden="1" outlineLevel="1" x14ac:dyDescent="0.3">
      <c r="A110" s="301" t="s">
        <v>195</v>
      </c>
      <c r="B110" s="302"/>
      <c r="C110" s="164">
        <v>0.71030000000000004</v>
      </c>
      <c r="D110" s="123">
        <f>C110*D109</f>
        <v>2507.615461409443</v>
      </c>
      <c r="E110" s="63"/>
      <c r="F110" s="20"/>
      <c r="G110" s="20"/>
    </row>
    <row r="111" spans="1:7" hidden="1" outlineLevel="1" x14ac:dyDescent="0.3">
      <c r="A111" s="303" t="s">
        <v>194</v>
      </c>
      <c r="B111" s="304"/>
      <c r="C111" s="172">
        <f>1/C12</f>
        <v>4.1666666666666664E-2</v>
      </c>
      <c r="D111" s="132">
        <f>D110*C111</f>
        <v>104.48397755872679</v>
      </c>
      <c r="E111" s="63"/>
      <c r="F111" s="20"/>
      <c r="G111" s="20"/>
    </row>
    <row r="112" spans="1:7" hidden="1" outlineLevel="1" x14ac:dyDescent="0.3">
      <c r="A112" s="32" t="s">
        <v>160</v>
      </c>
      <c r="B112" s="40" t="s">
        <v>159</v>
      </c>
      <c r="C112" s="68"/>
      <c r="D112" s="122">
        <f>D104</f>
        <v>144.04352998737372</v>
      </c>
      <c r="E112" s="63"/>
      <c r="F112" s="20"/>
      <c r="G112" s="20"/>
    </row>
    <row r="113" spans="1:7" collapsed="1" x14ac:dyDescent="0.3">
      <c r="A113" s="292" t="s">
        <v>67</v>
      </c>
      <c r="B113" s="293"/>
      <c r="C113" s="36"/>
      <c r="D113" s="70">
        <f>D111+D112</f>
        <v>248.52750754610051</v>
      </c>
      <c r="E113" s="20"/>
      <c r="F113" s="20"/>
      <c r="G113" s="20"/>
    </row>
    <row r="114" spans="1:7" x14ac:dyDescent="0.3">
      <c r="A114" s="289"/>
      <c r="B114" s="290"/>
      <c r="C114" s="290"/>
      <c r="D114" s="291"/>
      <c r="E114" s="20"/>
      <c r="F114" s="20"/>
      <c r="G114" s="20"/>
    </row>
    <row r="115" spans="1:7" x14ac:dyDescent="0.3">
      <c r="A115" s="286" t="s">
        <v>68</v>
      </c>
      <c r="B115" s="287"/>
      <c r="C115" s="287"/>
      <c r="D115" s="288"/>
      <c r="E115" s="20"/>
      <c r="F115" s="20"/>
      <c r="G115" s="20"/>
    </row>
    <row r="116" spans="1:7" hidden="1" outlineLevel="1" x14ac:dyDescent="0.3">
      <c r="A116" s="297"/>
      <c r="B116" s="298"/>
      <c r="C116" s="298"/>
      <c r="D116" s="299"/>
      <c r="E116" s="20"/>
      <c r="F116" s="20"/>
      <c r="G116" s="20"/>
    </row>
    <row r="117" spans="1:7" hidden="1" outlineLevel="1" x14ac:dyDescent="0.3">
      <c r="A117" s="30" t="s">
        <v>69</v>
      </c>
      <c r="B117" s="38" t="s">
        <v>124</v>
      </c>
      <c r="C117" s="36" t="s">
        <v>47</v>
      </c>
      <c r="D117" s="30" t="s">
        <v>39</v>
      </c>
      <c r="E117" s="20"/>
      <c r="F117" s="20"/>
      <c r="G117" s="20"/>
    </row>
    <row r="118" spans="1:7" hidden="1" outlineLevel="2" x14ac:dyDescent="0.3">
      <c r="A118" s="159" t="s">
        <v>40</v>
      </c>
      <c r="B118" s="40" t="s">
        <v>70</v>
      </c>
      <c r="C118" s="71">
        <f>IF(C12&gt;60,5/C12,IF(C12&gt;48,4/C12,IF(C12&gt;36,3/C12,IF(C12&gt;24,2/C12,IF(C12&gt;12,1/C12,0)))))</f>
        <v>4.1666666666666664E-2</v>
      </c>
      <c r="D118" s="64">
        <f>C118*(D34+D70+D113)</f>
        <v>194.87414285537727</v>
      </c>
      <c r="E118" s="133"/>
      <c r="F118" s="20"/>
      <c r="G118" s="72"/>
    </row>
    <row r="119" spans="1:7" hidden="1" outlineLevel="2" x14ac:dyDescent="0.3">
      <c r="A119" s="73" t="s">
        <v>128</v>
      </c>
      <c r="B119" s="40" t="s">
        <v>127</v>
      </c>
      <c r="C119" s="71">
        <f>C41</f>
        <v>0</v>
      </c>
      <c r="D119" s="122">
        <f>-D118*(1/3)*(C119)</f>
        <v>0</v>
      </c>
      <c r="E119" s="20"/>
      <c r="F119" s="20"/>
      <c r="G119" s="20"/>
    </row>
    <row r="120" spans="1:7" hidden="1" outlineLevel="1" collapsed="1" x14ac:dyDescent="0.3">
      <c r="A120" s="292" t="s">
        <v>158</v>
      </c>
      <c r="B120" s="293"/>
      <c r="C120" s="36">
        <f>C118+(D119/D34)</f>
        <v>4.1666666666666664E-2</v>
      </c>
      <c r="D120" s="37">
        <f>SUM(D118:D119)</f>
        <v>194.87414285537727</v>
      </c>
      <c r="E120" s="20"/>
      <c r="F120" s="20"/>
      <c r="G120" s="20"/>
    </row>
    <row r="121" spans="1:7" hidden="1" outlineLevel="1" x14ac:dyDescent="0.3">
      <c r="A121" s="297"/>
      <c r="B121" s="298"/>
      <c r="C121" s="298"/>
      <c r="D121" s="299"/>
      <c r="E121" s="20"/>
      <c r="F121" s="20"/>
      <c r="G121" s="20"/>
    </row>
    <row r="122" spans="1:7" hidden="1" outlineLevel="1" x14ac:dyDescent="0.3">
      <c r="A122" s="30" t="s">
        <v>123</v>
      </c>
      <c r="B122" s="38" t="s">
        <v>125</v>
      </c>
      <c r="C122" s="36" t="s">
        <v>47</v>
      </c>
      <c r="D122" s="30" t="s">
        <v>39</v>
      </c>
      <c r="E122" s="20"/>
      <c r="F122" s="20"/>
      <c r="G122" s="20"/>
    </row>
    <row r="123" spans="1:7" hidden="1" outlineLevel="2" x14ac:dyDescent="0.3">
      <c r="A123" s="159" t="s">
        <v>40</v>
      </c>
      <c r="B123" s="149" t="s">
        <v>122</v>
      </c>
      <c r="C123" s="165">
        <v>1.35E-2</v>
      </c>
      <c r="D123" s="64">
        <f t="shared" ref="D123:D128" si="1">C123*($D$64+$D$113+$D$34)</f>
        <v>45.602930813889401</v>
      </c>
      <c r="E123" s="20"/>
      <c r="F123" s="20"/>
      <c r="G123" s="72"/>
    </row>
    <row r="124" spans="1:7" hidden="1" outlineLevel="2" x14ac:dyDescent="0.3">
      <c r="A124" s="159" t="s">
        <v>19</v>
      </c>
      <c r="B124" s="40" t="s">
        <v>104</v>
      </c>
      <c r="C124" s="180">
        <v>1.66E-2</v>
      </c>
      <c r="D124" s="64">
        <f t="shared" si="1"/>
        <v>56.074714926708452</v>
      </c>
      <c r="E124" s="20"/>
      <c r="F124" s="20"/>
      <c r="G124" s="72"/>
    </row>
    <row r="125" spans="1:7" hidden="1" outlineLevel="2" x14ac:dyDescent="0.3">
      <c r="A125" s="159" t="s">
        <v>20</v>
      </c>
      <c r="B125" s="40" t="s">
        <v>105</v>
      </c>
      <c r="C125" s="180">
        <v>2.7000000000000001E-3</v>
      </c>
      <c r="D125" s="64">
        <f t="shared" si="1"/>
        <v>9.1205861627778813</v>
      </c>
      <c r="E125" s="20"/>
      <c r="F125" s="20"/>
      <c r="G125" s="72"/>
    </row>
    <row r="126" spans="1:7" hidden="1" outlineLevel="2" x14ac:dyDescent="0.3">
      <c r="A126" s="159" t="s">
        <v>22</v>
      </c>
      <c r="B126" s="40" t="s">
        <v>103</v>
      </c>
      <c r="C126" s="180">
        <v>2.8E-3</v>
      </c>
      <c r="D126" s="64">
        <f t="shared" si="1"/>
        <v>9.4583856502881716</v>
      </c>
      <c r="E126" s="20"/>
      <c r="F126" s="20"/>
      <c r="G126" s="20"/>
    </row>
    <row r="127" spans="1:7" hidden="1" outlineLevel="2" x14ac:dyDescent="0.3">
      <c r="A127" s="159" t="s">
        <v>25</v>
      </c>
      <c r="B127" s="40" t="s">
        <v>71</v>
      </c>
      <c r="C127" s="180">
        <v>2.0000000000000001E-4</v>
      </c>
      <c r="D127" s="64">
        <f t="shared" si="1"/>
        <v>0.67559897502058375</v>
      </c>
      <c r="E127" s="20"/>
      <c r="F127" s="20"/>
      <c r="G127" s="20"/>
    </row>
    <row r="128" spans="1:7" hidden="1" outlineLevel="2" x14ac:dyDescent="0.3">
      <c r="A128" s="159" t="s">
        <v>27</v>
      </c>
      <c r="B128" s="40" t="s">
        <v>72</v>
      </c>
      <c r="C128" s="180">
        <v>2.9999999999999997E-4</v>
      </c>
      <c r="D128" s="64">
        <f t="shared" si="1"/>
        <v>1.0133984625308756</v>
      </c>
      <c r="E128" s="20"/>
      <c r="F128" s="20"/>
      <c r="G128" s="20"/>
    </row>
    <row r="129" spans="1:7" hidden="1" outlineLevel="1" collapsed="1" x14ac:dyDescent="0.3">
      <c r="A129" s="292" t="s">
        <v>158</v>
      </c>
      <c r="B129" s="293"/>
      <c r="C129" s="36">
        <f>SUM(C123:C128)</f>
        <v>3.61E-2</v>
      </c>
      <c r="D129" s="37">
        <f>SUM(D123:D128)</f>
        <v>121.94561499121536</v>
      </c>
      <c r="E129" s="20"/>
      <c r="F129" s="20"/>
      <c r="G129" s="20"/>
    </row>
    <row r="130" spans="1:7" hidden="1" outlineLevel="1" x14ac:dyDescent="0.3">
      <c r="A130" s="297"/>
      <c r="B130" s="298"/>
      <c r="C130" s="298"/>
      <c r="D130" s="299"/>
      <c r="E130" s="20"/>
      <c r="F130" s="20"/>
      <c r="G130" s="20"/>
    </row>
    <row r="131" spans="1:7" hidden="1" outlineLevel="1" x14ac:dyDescent="0.3">
      <c r="A131" s="295" t="s">
        <v>157</v>
      </c>
      <c r="B131" s="296"/>
      <c r="C131" s="30" t="s">
        <v>47</v>
      </c>
      <c r="D131" s="30" t="s">
        <v>39</v>
      </c>
      <c r="E131" s="20"/>
      <c r="F131" s="20"/>
      <c r="G131" s="20"/>
    </row>
    <row r="132" spans="1:7" hidden="1" outlineLevel="1" x14ac:dyDescent="0.3">
      <c r="A132" s="159" t="s">
        <v>69</v>
      </c>
      <c r="B132" s="40" t="s">
        <v>124</v>
      </c>
      <c r="C132" s="46"/>
      <c r="D132" s="98">
        <f>D120</f>
        <v>194.87414285537727</v>
      </c>
      <c r="E132" s="20"/>
      <c r="F132" s="20"/>
      <c r="G132" s="20"/>
    </row>
    <row r="133" spans="1:7" hidden="1" outlineLevel="1" x14ac:dyDescent="0.3">
      <c r="A133" s="159" t="s">
        <v>123</v>
      </c>
      <c r="B133" s="40" t="s">
        <v>125</v>
      </c>
      <c r="C133" s="46"/>
      <c r="D133" s="98">
        <f>D129</f>
        <v>121.94561499121536</v>
      </c>
      <c r="E133" s="20"/>
      <c r="F133" s="20"/>
      <c r="G133" s="20"/>
    </row>
    <row r="134" spans="1:7" collapsed="1" x14ac:dyDescent="0.3">
      <c r="A134" s="292" t="s">
        <v>14</v>
      </c>
      <c r="B134" s="294"/>
      <c r="C134" s="293"/>
      <c r="D134" s="99">
        <f>SUM(D132:D133)</f>
        <v>316.81975784659267</v>
      </c>
      <c r="E134" s="20"/>
      <c r="F134" s="20"/>
      <c r="G134" s="20"/>
    </row>
    <row r="135" spans="1:7" x14ac:dyDescent="0.3">
      <c r="A135" s="297"/>
      <c r="B135" s="298"/>
      <c r="C135" s="298"/>
      <c r="D135" s="299"/>
      <c r="E135" s="20"/>
      <c r="F135" s="20"/>
      <c r="G135" s="20"/>
    </row>
    <row r="136" spans="1:7" x14ac:dyDescent="0.3">
      <c r="A136" s="286" t="s">
        <v>73</v>
      </c>
      <c r="B136" s="287"/>
      <c r="C136" s="287"/>
      <c r="D136" s="288"/>
      <c r="E136" s="20"/>
      <c r="F136" s="20"/>
      <c r="G136" s="20"/>
    </row>
    <row r="137" spans="1:7" hidden="1" outlineLevel="1" x14ac:dyDescent="0.3">
      <c r="A137" s="297"/>
      <c r="B137" s="298"/>
      <c r="C137" s="298"/>
      <c r="D137" s="299"/>
      <c r="E137" s="20"/>
      <c r="F137" s="20"/>
      <c r="G137" s="20"/>
    </row>
    <row r="138" spans="1:7" hidden="1" outlineLevel="1" x14ac:dyDescent="0.3">
      <c r="A138" s="157">
        <v>5</v>
      </c>
      <c r="B138" s="292" t="s">
        <v>248</v>
      </c>
      <c r="C138" s="293"/>
      <c r="D138" s="30" t="s">
        <v>39</v>
      </c>
      <c r="E138" s="20"/>
      <c r="F138" s="20"/>
      <c r="G138" s="20"/>
    </row>
    <row r="139" spans="1:7" hidden="1" outlineLevel="1" x14ac:dyDescent="0.3">
      <c r="A139" s="159" t="s">
        <v>40</v>
      </c>
      <c r="B139" s="308" t="s">
        <v>249</v>
      </c>
      <c r="C139" s="309"/>
      <c r="D139" s="95">
        <f>INSUMOS!H17</f>
        <v>53.838916666666663</v>
      </c>
      <c r="E139" s="20"/>
      <c r="F139" s="20"/>
      <c r="G139" s="20"/>
    </row>
    <row r="140" spans="1:7" hidden="1" outlineLevel="1" x14ac:dyDescent="0.3">
      <c r="A140" s="159" t="s">
        <v>19</v>
      </c>
      <c r="B140" s="308" t="s">
        <v>269</v>
      </c>
      <c r="C140" s="309"/>
      <c r="D140" s="74">
        <f>INSUMOS!H39</f>
        <v>23.641805555555553</v>
      </c>
      <c r="E140" s="20"/>
      <c r="F140" s="20"/>
      <c r="G140" s="20"/>
    </row>
    <row r="141" spans="1:7" hidden="1" outlineLevel="1" x14ac:dyDescent="0.3">
      <c r="A141" s="159" t="s">
        <v>20</v>
      </c>
      <c r="B141" s="310" t="s">
        <v>268</v>
      </c>
      <c r="C141" s="311"/>
      <c r="D141" s="181">
        <f>INSUMOS!H50</f>
        <v>62.5</v>
      </c>
      <c r="E141" s="20"/>
      <c r="F141" s="20"/>
      <c r="G141" s="20"/>
    </row>
    <row r="142" spans="1:7" hidden="1" outlineLevel="1" x14ac:dyDescent="0.3">
      <c r="A142" s="159" t="s">
        <v>25</v>
      </c>
      <c r="B142" s="312" t="s">
        <v>42</v>
      </c>
      <c r="C142" s="313"/>
      <c r="D142" s="96">
        <v>0</v>
      </c>
      <c r="E142" s="20"/>
      <c r="F142" s="20"/>
      <c r="G142" s="20"/>
    </row>
    <row r="143" spans="1:7" collapsed="1" x14ac:dyDescent="0.3">
      <c r="A143" s="292" t="s">
        <v>74</v>
      </c>
      <c r="B143" s="294"/>
      <c r="C143" s="293"/>
      <c r="D143" s="97">
        <f>SUM(D139:D142)</f>
        <v>139.9807222222222</v>
      </c>
      <c r="E143" s="20"/>
      <c r="F143" s="20"/>
      <c r="G143" s="20"/>
    </row>
    <row r="144" spans="1:7" x14ac:dyDescent="0.3">
      <c r="A144" s="289"/>
      <c r="B144" s="290"/>
      <c r="C144" s="290"/>
      <c r="D144" s="291"/>
      <c r="E144" s="20"/>
      <c r="F144" s="20"/>
      <c r="G144" s="20"/>
    </row>
    <row r="145" spans="1:7" x14ac:dyDescent="0.3">
      <c r="A145" s="314" t="s">
        <v>75</v>
      </c>
      <c r="B145" s="314"/>
      <c r="C145" s="314"/>
      <c r="D145" s="160">
        <f>D34+D70+D113+D134+D143</f>
        <v>5133.7799085978695</v>
      </c>
      <c r="E145" s="20"/>
      <c r="F145" s="20"/>
      <c r="G145" s="20"/>
    </row>
    <row r="146" spans="1:7" x14ac:dyDescent="0.3">
      <c r="A146" s="271"/>
      <c r="B146" s="271"/>
      <c r="C146" s="271"/>
      <c r="D146" s="271"/>
      <c r="E146" s="20"/>
      <c r="F146" s="20"/>
      <c r="G146" s="20"/>
    </row>
    <row r="147" spans="1:7" x14ac:dyDescent="0.3">
      <c r="A147" s="315" t="s">
        <v>76</v>
      </c>
      <c r="B147" s="315"/>
      <c r="C147" s="315"/>
      <c r="D147" s="315"/>
      <c r="E147" s="20"/>
      <c r="F147" s="20"/>
      <c r="G147" s="20"/>
    </row>
    <row r="148" spans="1:7" hidden="1" outlineLevel="1" x14ac:dyDescent="0.3">
      <c r="A148" s="316"/>
      <c r="B148" s="317"/>
      <c r="C148" s="317"/>
      <c r="D148" s="318"/>
      <c r="E148" s="20"/>
      <c r="F148" s="20"/>
      <c r="G148" s="20"/>
    </row>
    <row r="149" spans="1:7" hidden="1" outlineLevel="1" x14ac:dyDescent="0.3">
      <c r="A149" s="157">
        <v>6</v>
      </c>
      <c r="B149" s="38" t="s">
        <v>77</v>
      </c>
      <c r="C149" s="30" t="s">
        <v>47</v>
      </c>
      <c r="D149" s="30" t="s">
        <v>39</v>
      </c>
      <c r="E149" s="20"/>
      <c r="F149" s="20"/>
      <c r="G149" s="20"/>
    </row>
    <row r="150" spans="1:7" hidden="1" outlineLevel="1" x14ac:dyDescent="0.3">
      <c r="A150" s="159" t="s">
        <v>40</v>
      </c>
      <c r="B150" s="40" t="s">
        <v>78</v>
      </c>
      <c r="C150" s="166">
        <v>5.6599999999999998E-2</v>
      </c>
      <c r="D150" s="28">
        <f>C150*D145</f>
        <v>290.57194282663943</v>
      </c>
      <c r="E150" s="20"/>
      <c r="F150" s="20"/>
      <c r="G150" s="20"/>
    </row>
    <row r="151" spans="1:7" hidden="1" outlineLevel="1" x14ac:dyDescent="0.3">
      <c r="A151" s="305" t="s">
        <v>4</v>
      </c>
      <c r="B151" s="306"/>
      <c r="C151" s="307"/>
      <c r="D151" s="28">
        <f>D145+D150</f>
        <v>5424.3518514245088</v>
      </c>
      <c r="E151" s="20"/>
      <c r="F151" s="20"/>
      <c r="G151" s="20"/>
    </row>
    <row r="152" spans="1:7" hidden="1" outlineLevel="1" x14ac:dyDescent="0.3">
      <c r="A152" s="159" t="s">
        <v>19</v>
      </c>
      <c r="B152" s="40" t="s">
        <v>79</v>
      </c>
      <c r="C152" s="166">
        <v>5.62E-2</v>
      </c>
      <c r="D152" s="28">
        <f>C152*D151</f>
        <v>304.84857405005738</v>
      </c>
      <c r="E152" s="20"/>
      <c r="F152" s="20"/>
      <c r="G152" s="20"/>
    </row>
    <row r="153" spans="1:7" hidden="1" outlineLevel="1" x14ac:dyDescent="0.3">
      <c r="A153" s="305" t="s">
        <v>4</v>
      </c>
      <c r="B153" s="306"/>
      <c r="C153" s="306"/>
      <c r="D153" s="28">
        <f>D152+D151</f>
        <v>5729.2004254745661</v>
      </c>
      <c r="E153" s="20"/>
      <c r="F153" s="20"/>
      <c r="G153" s="20"/>
    </row>
    <row r="154" spans="1:7" hidden="1" outlineLevel="1" x14ac:dyDescent="0.3">
      <c r="A154" s="159" t="s">
        <v>20</v>
      </c>
      <c r="B154" s="310" t="s">
        <v>80</v>
      </c>
      <c r="C154" s="319"/>
      <c r="D154" s="311"/>
      <c r="E154" s="20"/>
      <c r="F154" s="20"/>
      <c r="G154" s="20"/>
    </row>
    <row r="155" spans="1:7" hidden="1" outlineLevel="1" x14ac:dyDescent="0.3">
      <c r="A155" s="88"/>
      <c r="B155" s="158" t="s">
        <v>81</v>
      </c>
      <c r="C155" s="166">
        <v>6.4999999999999997E-3</v>
      </c>
      <c r="D155" s="28">
        <f>(D153/(1-C158)*C155)</f>
        <v>40.324637537178859</v>
      </c>
      <c r="E155" s="20"/>
      <c r="F155" s="20"/>
      <c r="G155" s="20"/>
    </row>
    <row r="156" spans="1:7" hidden="1" outlineLevel="1" x14ac:dyDescent="0.3">
      <c r="A156" s="88"/>
      <c r="B156" s="158" t="s">
        <v>82</v>
      </c>
      <c r="C156" s="166">
        <v>0.03</v>
      </c>
      <c r="D156" s="28">
        <f>(D153/(1-C158)*C156)</f>
        <v>186.11371171005629</v>
      </c>
      <c r="E156" s="20"/>
      <c r="F156" s="20"/>
      <c r="G156" s="20"/>
    </row>
    <row r="157" spans="1:7" hidden="1" outlineLevel="1" x14ac:dyDescent="0.3">
      <c r="A157" s="88"/>
      <c r="B157" s="158" t="s">
        <v>262</v>
      </c>
      <c r="C157" s="75">
        <v>0.04</v>
      </c>
      <c r="D157" s="28">
        <f>(D153/(1-C158)*C157)</f>
        <v>248.15161561340841</v>
      </c>
      <c r="E157" s="20"/>
      <c r="F157" s="20"/>
      <c r="G157" s="20"/>
    </row>
    <row r="158" spans="1:7" hidden="1" outlineLevel="1" x14ac:dyDescent="0.3">
      <c r="A158" s="305" t="s">
        <v>83</v>
      </c>
      <c r="B158" s="307"/>
      <c r="C158" s="76">
        <f>SUM(C155:C157)</f>
        <v>7.6499999999999999E-2</v>
      </c>
      <c r="D158" s="28">
        <f>SUM(D155:D157)</f>
        <v>474.58996486064359</v>
      </c>
      <c r="E158" s="20"/>
      <c r="F158" s="20"/>
      <c r="G158" s="20"/>
    </row>
    <row r="159" spans="1:7" collapsed="1" x14ac:dyDescent="0.3">
      <c r="A159" s="292" t="s">
        <v>84</v>
      </c>
      <c r="B159" s="293"/>
      <c r="C159" s="77">
        <f>SUM(C150+C152+C158)</f>
        <v>0.1893</v>
      </c>
      <c r="D159" s="29">
        <f>SUM(D158+D150+D152)</f>
        <v>1070.0104817373403</v>
      </c>
      <c r="E159" s="20"/>
      <c r="F159" s="20"/>
      <c r="G159" s="20"/>
    </row>
    <row r="160" spans="1:7" x14ac:dyDescent="0.3">
      <c r="A160" s="289"/>
      <c r="B160" s="290"/>
      <c r="C160" s="290"/>
      <c r="D160" s="291"/>
      <c r="E160" s="20"/>
      <c r="F160" s="20"/>
      <c r="G160" s="20"/>
    </row>
    <row r="161" spans="1:7" x14ac:dyDescent="0.3">
      <c r="A161" s="280" t="s">
        <v>85</v>
      </c>
      <c r="B161" s="282"/>
      <c r="C161" s="281"/>
      <c r="D161" s="78" t="s">
        <v>39</v>
      </c>
      <c r="E161" s="20"/>
      <c r="F161" s="20"/>
      <c r="G161" s="20"/>
    </row>
    <row r="162" spans="1:7" x14ac:dyDescent="0.3">
      <c r="A162" s="275" t="s">
        <v>86</v>
      </c>
      <c r="B162" s="320"/>
      <c r="C162" s="320"/>
      <c r="D162" s="276"/>
      <c r="E162" s="20"/>
      <c r="F162" s="20"/>
      <c r="G162" s="20"/>
    </row>
    <row r="163" spans="1:7" x14ac:dyDescent="0.3">
      <c r="A163" s="156" t="s">
        <v>40</v>
      </c>
      <c r="B163" s="275" t="s">
        <v>87</v>
      </c>
      <c r="C163" s="276"/>
      <c r="D163" s="25">
        <f>D34</f>
        <v>2592.7835397727272</v>
      </c>
      <c r="E163" s="20"/>
      <c r="F163" s="20"/>
      <c r="G163" s="20"/>
    </row>
    <row r="164" spans="1:7" x14ac:dyDescent="0.3">
      <c r="A164" s="156" t="s">
        <v>19</v>
      </c>
      <c r="B164" s="275" t="s">
        <v>88</v>
      </c>
      <c r="C164" s="276"/>
      <c r="D164" s="25">
        <f>D70</f>
        <v>1835.6683812102272</v>
      </c>
      <c r="E164" s="20"/>
      <c r="F164" s="20"/>
      <c r="G164" s="20"/>
    </row>
    <row r="165" spans="1:7" x14ac:dyDescent="0.3">
      <c r="A165" s="156" t="s">
        <v>20</v>
      </c>
      <c r="B165" s="275" t="s">
        <v>89</v>
      </c>
      <c r="C165" s="276"/>
      <c r="D165" s="25">
        <f>D113</f>
        <v>248.52750754610051</v>
      </c>
      <c r="E165" s="20"/>
      <c r="F165" s="20"/>
      <c r="G165" s="20"/>
    </row>
    <row r="166" spans="1:7" x14ac:dyDescent="0.3">
      <c r="A166" s="156" t="s">
        <v>22</v>
      </c>
      <c r="B166" s="275" t="s">
        <v>90</v>
      </c>
      <c r="C166" s="276"/>
      <c r="D166" s="25">
        <f>D134</f>
        <v>316.81975784659267</v>
      </c>
      <c r="E166" s="20"/>
      <c r="F166" s="20"/>
      <c r="G166" s="20"/>
    </row>
    <row r="167" spans="1:7" x14ac:dyDescent="0.3">
      <c r="A167" s="156" t="s">
        <v>25</v>
      </c>
      <c r="B167" s="275" t="s">
        <v>91</v>
      </c>
      <c r="C167" s="276"/>
      <c r="D167" s="25">
        <f>D143</f>
        <v>139.9807222222222</v>
      </c>
      <c r="E167" s="20"/>
      <c r="F167" s="20"/>
      <c r="G167" s="20"/>
    </row>
    <row r="168" spans="1:7" x14ac:dyDescent="0.3">
      <c r="A168" s="321" t="s">
        <v>92</v>
      </c>
      <c r="B168" s="322"/>
      <c r="C168" s="323"/>
      <c r="D168" s="25">
        <f>SUM(D163:D167)</f>
        <v>5133.7799085978695</v>
      </c>
      <c r="E168" s="20"/>
      <c r="F168" s="20"/>
      <c r="G168" s="20"/>
    </row>
    <row r="169" spans="1:7" x14ac:dyDescent="0.3">
      <c r="A169" s="156" t="s">
        <v>93</v>
      </c>
      <c r="B169" s="275" t="s">
        <v>94</v>
      </c>
      <c r="C169" s="276"/>
      <c r="D169" s="25">
        <f>D159</f>
        <v>1070.0104817373403</v>
      </c>
      <c r="E169" s="20"/>
      <c r="F169" s="20"/>
      <c r="G169" s="20"/>
    </row>
    <row r="170" spans="1:7" x14ac:dyDescent="0.3">
      <c r="A170" s="280" t="s">
        <v>95</v>
      </c>
      <c r="B170" s="282"/>
      <c r="C170" s="281"/>
      <c r="D170" s="124">
        <f xml:space="preserve"> D168+D169</f>
        <v>6203.7903903352098</v>
      </c>
      <c r="E170" s="20"/>
      <c r="F170" s="20"/>
      <c r="G170" s="20"/>
    </row>
    <row r="171" spans="1:7" x14ac:dyDescent="0.3">
      <c r="A171" s="20"/>
      <c r="B171" s="20"/>
      <c r="C171" s="20"/>
      <c r="D171" s="20"/>
      <c r="E171" s="20"/>
      <c r="F171" s="20"/>
      <c r="G171" s="20"/>
    </row>
    <row r="172" spans="1:7" x14ac:dyDescent="0.3">
      <c r="A172" s="324" t="s">
        <v>3</v>
      </c>
      <c r="B172" s="325"/>
      <c r="C172" s="326"/>
      <c r="D172" s="79" t="s">
        <v>2</v>
      </c>
      <c r="E172" s="20"/>
      <c r="F172" s="20"/>
      <c r="G172" s="20"/>
    </row>
    <row r="173" spans="1:7" x14ac:dyDescent="0.3">
      <c r="A173" s="327" t="s">
        <v>113</v>
      </c>
      <c r="B173" s="328"/>
      <c r="C173" s="329"/>
      <c r="D173" s="80">
        <f>C17</f>
        <v>2</v>
      </c>
      <c r="E173" s="20"/>
      <c r="F173" s="20"/>
      <c r="G173" s="20"/>
    </row>
    <row r="174" spans="1:7" x14ac:dyDescent="0.3">
      <c r="A174" s="327" t="s">
        <v>0</v>
      </c>
      <c r="B174" s="328"/>
      <c r="C174" s="329"/>
      <c r="D174" s="90">
        <f>D173*D170</f>
        <v>12407.58078067042</v>
      </c>
      <c r="E174" s="20"/>
      <c r="F174" s="20"/>
      <c r="G174" s="20"/>
    </row>
    <row r="175" spans="1:7" x14ac:dyDescent="0.3">
      <c r="A175" s="20"/>
      <c r="B175" s="20"/>
      <c r="C175" s="20"/>
      <c r="D175" s="20"/>
      <c r="E175" s="20"/>
      <c r="F175" s="20"/>
      <c r="G175" s="20"/>
    </row>
    <row r="176" spans="1:7" x14ac:dyDescent="0.3">
      <c r="A176" s="20"/>
      <c r="B176" s="20"/>
      <c r="C176" s="20"/>
      <c r="D176" s="20"/>
      <c r="E176" s="20"/>
      <c r="F176" s="20"/>
      <c r="G176" s="20"/>
    </row>
  </sheetData>
  <mergeCells count="96">
    <mergeCell ref="C10:D10"/>
    <mergeCell ref="A1:D1"/>
    <mergeCell ref="A2:B2"/>
    <mergeCell ref="C2:D2"/>
    <mergeCell ref="A3:B3"/>
    <mergeCell ref="C3:D3"/>
    <mergeCell ref="A4:D4"/>
    <mergeCell ref="A5:D5"/>
    <mergeCell ref="C6:D6"/>
    <mergeCell ref="C7:D7"/>
    <mergeCell ref="C8:D8"/>
    <mergeCell ref="C9:D9"/>
    <mergeCell ref="B22:C22"/>
    <mergeCell ref="C11:D11"/>
    <mergeCell ref="C12:D12"/>
    <mergeCell ref="A13:D13"/>
    <mergeCell ref="A14:D14"/>
    <mergeCell ref="A15:D15"/>
    <mergeCell ref="C16:D16"/>
    <mergeCell ref="C17:D17"/>
    <mergeCell ref="C18:D18"/>
    <mergeCell ref="A19:D19"/>
    <mergeCell ref="B20:C20"/>
    <mergeCell ref="B21:C21"/>
    <mergeCell ref="A54:D54"/>
    <mergeCell ref="A23:D23"/>
    <mergeCell ref="A24:D24"/>
    <mergeCell ref="A25:D25"/>
    <mergeCell ref="B26:C26"/>
    <mergeCell ref="A34:C34"/>
    <mergeCell ref="A35:D35"/>
    <mergeCell ref="A36:D36"/>
    <mergeCell ref="A37:D37"/>
    <mergeCell ref="A42:B42"/>
    <mergeCell ref="A43:D43"/>
    <mergeCell ref="A53:B53"/>
    <mergeCell ref="A104:B104"/>
    <mergeCell ref="A64:C64"/>
    <mergeCell ref="A65:D65"/>
    <mergeCell ref="A66:B66"/>
    <mergeCell ref="A70:C70"/>
    <mergeCell ref="A71:D71"/>
    <mergeCell ref="A72:D72"/>
    <mergeCell ref="A73:D73"/>
    <mergeCell ref="A86:B86"/>
    <mergeCell ref="A87:D87"/>
    <mergeCell ref="A98:B98"/>
    <mergeCell ref="A99:D99"/>
    <mergeCell ref="A129:B129"/>
    <mergeCell ref="A105:D105"/>
    <mergeCell ref="A106:B106"/>
    <mergeCell ref="A109:C109"/>
    <mergeCell ref="A110:B110"/>
    <mergeCell ref="A111:B111"/>
    <mergeCell ref="A113:B113"/>
    <mergeCell ref="A114:D114"/>
    <mergeCell ref="A115:D115"/>
    <mergeCell ref="A116:D116"/>
    <mergeCell ref="A120:B120"/>
    <mergeCell ref="A121:D121"/>
    <mergeCell ref="A143:C143"/>
    <mergeCell ref="A130:D130"/>
    <mergeCell ref="A131:B131"/>
    <mergeCell ref="A134:C134"/>
    <mergeCell ref="A135:D135"/>
    <mergeCell ref="A136:D136"/>
    <mergeCell ref="A137:D137"/>
    <mergeCell ref="B138:C138"/>
    <mergeCell ref="B139:C139"/>
    <mergeCell ref="B140:C140"/>
    <mergeCell ref="B141:C141"/>
    <mergeCell ref="B142:C142"/>
    <mergeCell ref="A161:C161"/>
    <mergeCell ref="A144:D144"/>
    <mergeCell ref="A145:C145"/>
    <mergeCell ref="A146:D146"/>
    <mergeCell ref="A147:D147"/>
    <mergeCell ref="A148:D148"/>
    <mergeCell ref="A151:C151"/>
    <mergeCell ref="A153:C153"/>
    <mergeCell ref="B154:D154"/>
    <mergeCell ref="A158:B158"/>
    <mergeCell ref="A159:B159"/>
    <mergeCell ref="A160:D160"/>
    <mergeCell ref="A174:C174"/>
    <mergeCell ref="A162:D162"/>
    <mergeCell ref="B163:C163"/>
    <mergeCell ref="B164:C164"/>
    <mergeCell ref="B165:C165"/>
    <mergeCell ref="B166:C166"/>
    <mergeCell ref="B167:C167"/>
    <mergeCell ref="A168:C168"/>
    <mergeCell ref="B169:C169"/>
    <mergeCell ref="A170:C170"/>
    <mergeCell ref="A172:C172"/>
    <mergeCell ref="A173:C17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2">
    <tabColor rgb="FFFFFF00"/>
  </sheetPr>
  <dimension ref="A1:I56"/>
  <sheetViews>
    <sheetView zoomScale="90" zoomScaleNormal="90" workbookViewId="0">
      <selection activeCell="B47" sqref="B47:E50"/>
    </sheetView>
  </sheetViews>
  <sheetFormatPr defaultColWidth="0" defaultRowHeight="15" zeroHeight="1" x14ac:dyDescent="0.25"/>
  <cols>
    <col min="1" max="1" width="4.42578125" customWidth="1"/>
    <col min="2" max="2" width="44.85546875" customWidth="1"/>
    <col min="3" max="3" width="10.28515625" customWidth="1"/>
    <col min="4" max="4" width="15.28515625" customWidth="1"/>
    <col min="5" max="5" width="11.42578125" bestFit="1" customWidth="1"/>
    <col min="6" max="6" width="15" customWidth="1"/>
    <col min="7" max="7" width="20.28515625" bestFit="1" customWidth="1"/>
    <col min="8" max="8" width="19.140625" bestFit="1" customWidth="1"/>
    <col min="9" max="9" width="12.140625" customWidth="1"/>
    <col min="10" max="16384" width="9.140625" hidden="1"/>
  </cols>
  <sheetData>
    <row r="1" spans="1:9" ht="15.75" thickBot="1" x14ac:dyDescent="0.3">
      <c r="A1" s="6"/>
      <c r="B1" s="237"/>
      <c r="C1" s="237"/>
      <c r="D1" s="237"/>
      <c r="E1" s="237"/>
      <c r="F1" s="237"/>
      <c r="G1" s="237"/>
      <c r="H1" s="237"/>
      <c r="I1" s="237"/>
    </row>
    <row r="2" spans="1:9" ht="21" thickBot="1" x14ac:dyDescent="0.3">
      <c r="A2" s="6"/>
      <c r="B2" s="238" t="s">
        <v>108</v>
      </c>
      <c r="C2" s="239"/>
      <c r="D2" s="239"/>
      <c r="E2" s="239"/>
      <c r="F2" s="239"/>
      <c r="G2" s="239"/>
      <c r="H2" s="240"/>
      <c r="I2" s="6"/>
    </row>
    <row r="3" spans="1:9" ht="19.5" thickBot="1" x14ac:dyDescent="0.3">
      <c r="A3" s="6"/>
      <c r="B3" s="241" t="s">
        <v>168</v>
      </c>
      <c r="C3" s="242"/>
      <c r="D3" s="242"/>
      <c r="E3" s="242"/>
      <c r="F3" s="242"/>
      <c r="G3" s="242"/>
      <c r="H3" s="243"/>
      <c r="I3" s="6"/>
    </row>
    <row r="4" spans="1:9" x14ac:dyDescent="0.25">
      <c r="A4" s="6"/>
      <c r="B4" s="244" t="s">
        <v>10</v>
      </c>
      <c r="C4" s="246" t="s">
        <v>169</v>
      </c>
      <c r="D4" s="246" t="s">
        <v>107</v>
      </c>
      <c r="E4" s="246" t="s">
        <v>1</v>
      </c>
      <c r="F4" s="246" t="s">
        <v>11</v>
      </c>
      <c r="G4" s="246" t="s">
        <v>12</v>
      </c>
      <c r="H4" s="248" t="s">
        <v>175</v>
      </c>
      <c r="I4" s="6"/>
    </row>
    <row r="5" spans="1:9" x14ac:dyDescent="0.25">
      <c r="A5" s="6"/>
      <c r="B5" s="245"/>
      <c r="C5" s="247"/>
      <c r="D5" s="247"/>
      <c r="E5" s="247"/>
      <c r="F5" s="247"/>
      <c r="G5" s="247"/>
      <c r="H5" s="249"/>
      <c r="I5" s="6"/>
    </row>
    <row r="6" spans="1:9" x14ac:dyDescent="0.25">
      <c r="A6" s="6"/>
      <c r="B6" s="93" t="s">
        <v>171</v>
      </c>
      <c r="C6" s="104">
        <v>265926</v>
      </c>
      <c r="D6" s="111">
        <v>90.92</v>
      </c>
      <c r="E6" s="104">
        <v>1</v>
      </c>
      <c r="F6" s="115">
        <f>D6*E6</f>
        <v>90.92</v>
      </c>
      <c r="G6" s="92">
        <v>24</v>
      </c>
      <c r="H6" s="117">
        <f>F6/G6</f>
        <v>3.7883333333333336</v>
      </c>
      <c r="I6" s="6"/>
    </row>
    <row r="7" spans="1:9" ht="45" x14ac:dyDescent="0.25">
      <c r="A7" s="6"/>
      <c r="B7" s="93" t="s">
        <v>170</v>
      </c>
      <c r="C7" s="104" t="s">
        <v>173</v>
      </c>
      <c r="D7" s="111">
        <v>12.17</v>
      </c>
      <c r="E7" s="104">
        <v>1</v>
      </c>
      <c r="F7" s="115">
        <f>D7*E7</f>
        <v>12.17</v>
      </c>
      <c r="G7" s="92">
        <v>24</v>
      </c>
      <c r="H7" s="117">
        <f>F7/G7</f>
        <v>0.50708333333333333</v>
      </c>
      <c r="I7" s="6"/>
    </row>
    <row r="8" spans="1:9" x14ac:dyDescent="0.25">
      <c r="A8" s="6"/>
      <c r="B8" s="93" t="s">
        <v>111</v>
      </c>
      <c r="C8" s="104">
        <v>151064</v>
      </c>
      <c r="D8" s="111">
        <v>67.349999999999994</v>
      </c>
      <c r="E8" s="104">
        <v>2</v>
      </c>
      <c r="F8" s="115">
        <f t="shared" ref="F8:F13" si="0">D8*E8</f>
        <v>134.69999999999999</v>
      </c>
      <c r="G8" s="92">
        <v>20</v>
      </c>
      <c r="H8" s="117">
        <f t="shared" ref="H8:H13" si="1">F8/G8</f>
        <v>6.7349999999999994</v>
      </c>
      <c r="I8" s="6"/>
    </row>
    <row r="9" spans="1:9" x14ac:dyDescent="0.25">
      <c r="A9" s="6"/>
      <c r="B9" s="93" t="s">
        <v>109</v>
      </c>
      <c r="C9" s="104">
        <v>150284</v>
      </c>
      <c r="D9" s="111">
        <v>34.090000000000003</v>
      </c>
      <c r="E9" s="104">
        <v>2</v>
      </c>
      <c r="F9" s="115">
        <f t="shared" si="0"/>
        <v>68.180000000000007</v>
      </c>
      <c r="G9" s="92">
        <v>20</v>
      </c>
      <c r="H9" s="117">
        <f t="shared" si="1"/>
        <v>3.4090000000000003</v>
      </c>
      <c r="I9" s="6"/>
    </row>
    <row r="10" spans="1:9" x14ac:dyDescent="0.25">
      <c r="A10" s="6"/>
      <c r="B10" s="93" t="s">
        <v>110</v>
      </c>
      <c r="C10" s="125">
        <v>444177</v>
      </c>
      <c r="D10" s="111">
        <v>32.68</v>
      </c>
      <c r="E10" s="104">
        <v>2</v>
      </c>
      <c r="F10" s="115">
        <f t="shared" si="0"/>
        <v>65.36</v>
      </c>
      <c r="G10" s="92">
        <v>20</v>
      </c>
      <c r="H10" s="117">
        <f t="shared" si="1"/>
        <v>3.2679999999999998</v>
      </c>
      <c r="I10" s="6"/>
    </row>
    <row r="11" spans="1:9" x14ac:dyDescent="0.25">
      <c r="A11" s="6"/>
      <c r="B11" s="93" t="s">
        <v>174</v>
      </c>
      <c r="C11" s="104">
        <v>113182</v>
      </c>
      <c r="D11" s="111">
        <v>148.71</v>
      </c>
      <c r="E11" s="104">
        <v>1</v>
      </c>
      <c r="F11" s="115">
        <f t="shared" si="0"/>
        <v>148.71</v>
      </c>
      <c r="G11" s="92">
        <v>12</v>
      </c>
      <c r="H11" s="117">
        <f t="shared" si="1"/>
        <v>12.3925</v>
      </c>
      <c r="I11" s="6"/>
    </row>
    <row r="12" spans="1:9" x14ac:dyDescent="0.25">
      <c r="A12" s="6"/>
      <c r="B12" s="93" t="s">
        <v>187</v>
      </c>
      <c r="C12" s="104">
        <v>446321</v>
      </c>
      <c r="D12" s="111">
        <v>7.72</v>
      </c>
      <c r="E12" s="104">
        <v>3</v>
      </c>
      <c r="F12" s="115">
        <f t="shared" si="0"/>
        <v>23.16</v>
      </c>
      <c r="G12" s="92">
        <v>6</v>
      </c>
      <c r="H12" s="117">
        <f t="shared" si="1"/>
        <v>3.86</v>
      </c>
      <c r="I12" s="6"/>
    </row>
    <row r="13" spans="1:9" x14ac:dyDescent="0.25">
      <c r="A13" s="6"/>
      <c r="B13" s="93" t="s">
        <v>106</v>
      </c>
      <c r="C13" s="104">
        <v>4057</v>
      </c>
      <c r="D13" s="111">
        <v>24.2</v>
      </c>
      <c r="E13" s="104">
        <v>1</v>
      </c>
      <c r="F13" s="115">
        <f t="shared" si="0"/>
        <v>24.2</v>
      </c>
      <c r="G13" s="92">
        <v>12</v>
      </c>
      <c r="H13" s="117">
        <f t="shared" si="1"/>
        <v>2.0166666666666666</v>
      </c>
      <c r="I13" s="6"/>
    </row>
    <row r="14" spans="1:9" x14ac:dyDescent="0.25">
      <c r="A14" s="6"/>
      <c r="B14" s="93" t="s">
        <v>189</v>
      </c>
      <c r="C14" s="104">
        <v>10111</v>
      </c>
      <c r="D14" s="112">
        <v>7.45</v>
      </c>
      <c r="E14" s="104">
        <v>1</v>
      </c>
      <c r="F14" s="115">
        <f t="shared" ref="F14:F16" si="2">D14*E14</f>
        <v>7.45</v>
      </c>
      <c r="G14" s="92">
        <v>12</v>
      </c>
      <c r="H14" s="117">
        <f t="shared" ref="H14:H16" si="3">F14/G14</f>
        <v>0.62083333333333335</v>
      </c>
      <c r="I14" s="6"/>
    </row>
    <row r="15" spans="1:9" x14ac:dyDescent="0.25">
      <c r="A15" s="6"/>
      <c r="B15" s="105" t="s">
        <v>176</v>
      </c>
      <c r="C15" s="109">
        <v>55905</v>
      </c>
      <c r="D15" s="113">
        <v>318.36</v>
      </c>
      <c r="E15" s="109">
        <v>1</v>
      </c>
      <c r="F15" s="115">
        <f t="shared" si="2"/>
        <v>318.36</v>
      </c>
      <c r="G15" s="106">
        <v>20</v>
      </c>
      <c r="H15" s="117">
        <f t="shared" si="3"/>
        <v>15.918000000000001</v>
      </c>
      <c r="I15" s="6"/>
    </row>
    <row r="16" spans="1:9" ht="30.75" thickBot="1" x14ac:dyDescent="0.3">
      <c r="A16" s="6"/>
      <c r="B16" s="101" t="s">
        <v>188</v>
      </c>
      <c r="C16" s="110">
        <v>10030</v>
      </c>
      <c r="D16" s="114">
        <v>26.47</v>
      </c>
      <c r="E16" s="110">
        <v>1</v>
      </c>
      <c r="F16" s="116">
        <f t="shared" si="2"/>
        <v>26.47</v>
      </c>
      <c r="G16" s="102">
        <v>20</v>
      </c>
      <c r="H16" s="118">
        <f t="shared" si="3"/>
        <v>1.3234999999999999</v>
      </c>
      <c r="I16" s="11"/>
    </row>
    <row r="17" spans="1:9" ht="15.75" thickBot="1" x14ac:dyDescent="0.3">
      <c r="A17" s="6"/>
      <c r="B17" s="219" t="s">
        <v>235</v>
      </c>
      <c r="C17" s="220"/>
      <c r="D17" s="220"/>
      <c r="E17" s="220"/>
      <c r="F17" s="220"/>
      <c r="G17" s="220"/>
      <c r="H17" s="121">
        <f>SUM(H6:H16)</f>
        <v>53.838916666666663</v>
      </c>
      <c r="I17" s="11"/>
    </row>
    <row r="18" spans="1:9" x14ac:dyDescent="0.25">
      <c r="A18" s="6"/>
      <c r="B18" s="6"/>
      <c r="C18" s="6"/>
      <c r="D18" s="6"/>
      <c r="E18" s="6"/>
      <c r="F18" s="6"/>
      <c r="G18" s="6"/>
      <c r="H18" s="6"/>
      <c r="I18" s="11"/>
    </row>
    <row r="19" spans="1:9" ht="15.75" thickBot="1" x14ac:dyDescent="0.3">
      <c r="A19" s="6"/>
      <c r="B19" s="6"/>
      <c r="C19" s="6"/>
      <c r="D19" s="6"/>
      <c r="E19" s="6"/>
      <c r="F19" s="6"/>
      <c r="G19" s="6"/>
      <c r="H19" s="6"/>
      <c r="I19" s="11"/>
    </row>
    <row r="20" spans="1:9" ht="19.5" thickBot="1" x14ac:dyDescent="0.3">
      <c r="A20" s="6"/>
      <c r="B20" s="205" t="s">
        <v>183</v>
      </c>
      <c r="C20" s="206"/>
      <c r="D20" s="206"/>
      <c r="E20" s="206"/>
      <c r="F20" s="206"/>
      <c r="G20" s="206"/>
      <c r="H20" s="207"/>
      <c r="I20" s="11"/>
    </row>
    <row r="21" spans="1:9" x14ac:dyDescent="0.25">
      <c r="A21" s="6"/>
      <c r="B21" s="235" t="s">
        <v>10</v>
      </c>
      <c r="C21" s="246" t="s">
        <v>169</v>
      </c>
      <c r="D21" s="208" t="s">
        <v>107</v>
      </c>
      <c r="E21" s="208" t="s">
        <v>1</v>
      </c>
      <c r="F21" s="208" t="s">
        <v>11</v>
      </c>
      <c r="G21" s="208" t="s">
        <v>12</v>
      </c>
      <c r="H21" s="210" t="s">
        <v>13</v>
      </c>
      <c r="I21" s="11"/>
    </row>
    <row r="22" spans="1:9" x14ac:dyDescent="0.25">
      <c r="A22" s="6"/>
      <c r="B22" s="236"/>
      <c r="C22" s="247"/>
      <c r="D22" s="209"/>
      <c r="E22" s="209"/>
      <c r="F22" s="209"/>
      <c r="G22" s="209"/>
      <c r="H22" s="211"/>
      <c r="I22" s="11"/>
    </row>
    <row r="23" spans="1:9" x14ac:dyDescent="0.25">
      <c r="A23" s="6"/>
      <c r="B23" s="107" t="s">
        <v>172</v>
      </c>
      <c r="C23" s="119">
        <v>121797</v>
      </c>
      <c r="D23" s="126">
        <v>619.91</v>
      </c>
      <c r="E23" s="120">
        <v>1</v>
      </c>
      <c r="F23" s="128">
        <f>D23*E23</f>
        <v>619.91</v>
      </c>
      <c r="G23" s="120">
        <v>120</v>
      </c>
      <c r="H23" s="130">
        <f>F23/G23</f>
        <v>5.165916666666666</v>
      </c>
      <c r="I23" s="11"/>
    </row>
    <row r="24" spans="1:9" x14ac:dyDescent="0.25">
      <c r="A24" s="6"/>
      <c r="B24" s="141" t="s">
        <v>177</v>
      </c>
      <c r="C24" s="142">
        <v>99830</v>
      </c>
      <c r="D24" s="143">
        <v>3616.13</v>
      </c>
      <c r="E24" s="125">
        <v>1</v>
      </c>
      <c r="F24" s="144">
        <f t="shared" ref="F24:F34" si="4">D24*E24</f>
        <v>3616.13</v>
      </c>
      <c r="G24" s="125">
        <v>360</v>
      </c>
      <c r="H24" s="134">
        <f t="shared" ref="H24:H31" si="5">F24/G24</f>
        <v>10.044805555555556</v>
      </c>
      <c r="I24" s="11"/>
    </row>
    <row r="25" spans="1:9" x14ac:dyDescent="0.25">
      <c r="A25" s="6"/>
      <c r="B25" s="141" t="s">
        <v>178</v>
      </c>
      <c r="C25" s="142">
        <v>242723</v>
      </c>
      <c r="D25" s="143">
        <v>4.1500000000000004</v>
      </c>
      <c r="E25" s="125">
        <v>12</v>
      </c>
      <c r="F25" s="144">
        <f t="shared" si="4"/>
        <v>49.800000000000004</v>
      </c>
      <c r="G25" s="125">
        <v>20</v>
      </c>
      <c r="H25" s="134">
        <f t="shared" si="5"/>
        <v>2.4900000000000002</v>
      </c>
      <c r="I25" s="11"/>
    </row>
    <row r="26" spans="1:9" x14ac:dyDescent="0.25">
      <c r="A26" s="6"/>
      <c r="B26" s="141" t="s">
        <v>179</v>
      </c>
      <c r="C26" s="142">
        <v>463287</v>
      </c>
      <c r="D26" s="143">
        <v>7</v>
      </c>
      <c r="E26" s="125">
        <v>2</v>
      </c>
      <c r="F26" s="144">
        <f t="shared" si="4"/>
        <v>14</v>
      </c>
      <c r="G26" s="125">
        <v>20</v>
      </c>
      <c r="H26" s="134">
        <f>F26/G26</f>
        <v>0.7</v>
      </c>
      <c r="I26" s="11"/>
    </row>
    <row r="27" spans="1:9" ht="30" x14ac:dyDescent="0.25">
      <c r="A27" s="6"/>
      <c r="B27" s="107" t="s">
        <v>180</v>
      </c>
      <c r="C27" s="119">
        <v>20532</v>
      </c>
      <c r="D27" s="126">
        <v>1323.5</v>
      </c>
      <c r="E27" s="120">
        <v>1</v>
      </c>
      <c r="F27" s="128">
        <f t="shared" si="4"/>
        <v>1323.5</v>
      </c>
      <c r="G27" s="120">
        <v>360</v>
      </c>
      <c r="H27" s="130">
        <f>F27/G27</f>
        <v>3.6763888888888889</v>
      </c>
      <c r="I27" s="11"/>
    </row>
    <row r="28" spans="1:9" x14ac:dyDescent="0.25">
      <c r="A28" s="6"/>
      <c r="B28" s="141" t="s">
        <v>184</v>
      </c>
      <c r="C28" s="142">
        <v>299290</v>
      </c>
      <c r="D28" s="143">
        <v>31.84</v>
      </c>
      <c r="E28" s="125">
        <v>1</v>
      </c>
      <c r="F28" s="144">
        <f t="shared" si="4"/>
        <v>31.84</v>
      </c>
      <c r="G28" s="125">
        <v>60</v>
      </c>
      <c r="H28" s="134">
        <f t="shared" si="5"/>
        <v>0.53066666666666662</v>
      </c>
      <c r="I28" s="11"/>
    </row>
    <row r="29" spans="1:9" x14ac:dyDescent="0.25">
      <c r="A29" s="6"/>
      <c r="B29" s="103" t="s">
        <v>185</v>
      </c>
      <c r="C29" s="100">
        <v>4200</v>
      </c>
      <c r="D29" s="127">
        <v>13.29</v>
      </c>
      <c r="E29" s="104">
        <v>1</v>
      </c>
      <c r="F29" s="129">
        <f t="shared" si="4"/>
        <v>13.29</v>
      </c>
      <c r="G29" s="104">
        <v>20</v>
      </c>
      <c r="H29" s="108">
        <f t="shared" si="5"/>
        <v>0.66449999999999998</v>
      </c>
      <c r="I29" s="11"/>
    </row>
    <row r="30" spans="1:9" x14ac:dyDescent="0.25">
      <c r="A30" s="6"/>
      <c r="B30" s="103" t="s">
        <v>181</v>
      </c>
      <c r="C30" s="100">
        <v>151040</v>
      </c>
      <c r="D30" s="127">
        <v>16.84</v>
      </c>
      <c r="E30" s="104">
        <v>1</v>
      </c>
      <c r="F30" s="129">
        <f t="shared" si="4"/>
        <v>16.84</v>
      </c>
      <c r="G30" s="104">
        <v>20</v>
      </c>
      <c r="H30" s="108">
        <f t="shared" si="5"/>
        <v>0.84199999999999997</v>
      </c>
      <c r="I30" s="11"/>
    </row>
    <row r="31" spans="1:9" x14ac:dyDescent="0.25">
      <c r="A31" s="6"/>
      <c r="B31" s="103" t="s">
        <v>182</v>
      </c>
      <c r="C31" s="100">
        <v>22292</v>
      </c>
      <c r="D31" s="127">
        <v>98.68</v>
      </c>
      <c r="E31" s="104">
        <v>1</v>
      </c>
      <c r="F31" s="129">
        <f t="shared" si="4"/>
        <v>98.68</v>
      </c>
      <c r="G31" s="104">
        <v>20</v>
      </c>
      <c r="H31" s="108">
        <f t="shared" si="5"/>
        <v>4.9340000000000002</v>
      </c>
      <c r="I31" s="11"/>
    </row>
    <row r="32" spans="1:9" x14ac:dyDescent="0.25">
      <c r="A32" s="6"/>
      <c r="B32" s="107" t="s">
        <v>196</v>
      </c>
      <c r="C32" s="119"/>
      <c r="D32" s="126"/>
      <c r="E32" s="120"/>
      <c r="F32" s="128"/>
      <c r="G32" s="120"/>
      <c r="H32" s="130"/>
      <c r="I32" s="11"/>
    </row>
    <row r="33" spans="1:9" ht="30" x14ac:dyDescent="0.25">
      <c r="A33" s="6"/>
      <c r="B33" s="103" t="s">
        <v>186</v>
      </c>
      <c r="C33" s="100">
        <v>398266</v>
      </c>
      <c r="D33" s="127">
        <v>1094.1199999999999</v>
      </c>
      <c r="E33" s="104">
        <v>1</v>
      </c>
      <c r="F33" s="129">
        <f>D33*E33</f>
        <v>1094.1199999999999</v>
      </c>
      <c r="G33" s="104">
        <v>60</v>
      </c>
      <c r="H33" s="108">
        <f>F33/G33</f>
        <v>18.235333333333333</v>
      </c>
      <c r="I33" s="11"/>
    </row>
    <row r="34" spans="1:9" x14ac:dyDescent="0.25">
      <c r="A34" s="6"/>
      <c r="B34" s="135" t="s">
        <v>192</v>
      </c>
      <c r="C34" s="136">
        <v>40436</v>
      </c>
      <c r="D34" s="137">
        <v>974.8</v>
      </c>
      <c r="E34" s="138">
        <v>1</v>
      </c>
      <c r="F34" s="139">
        <f t="shared" si="4"/>
        <v>974.8</v>
      </c>
      <c r="G34" s="138">
        <v>60</v>
      </c>
      <c r="H34" s="140">
        <f>IF(I34=TRUE,F34/G34,0)</f>
        <v>0</v>
      </c>
      <c r="I34" s="131"/>
    </row>
    <row r="35" spans="1:9" x14ac:dyDescent="0.25">
      <c r="A35" s="6"/>
      <c r="B35" s="107" t="s">
        <v>193</v>
      </c>
      <c r="C35" s="119">
        <v>247326</v>
      </c>
      <c r="D35" s="126">
        <v>1508.67</v>
      </c>
      <c r="E35" s="120">
        <v>1</v>
      </c>
      <c r="F35" s="128">
        <f>D35*E35</f>
        <v>1508.67</v>
      </c>
      <c r="G35" s="120">
        <v>120</v>
      </c>
      <c r="H35" s="130">
        <f>IF(I35=TRUE,F35/G35,0)</f>
        <v>0</v>
      </c>
      <c r="I35" s="131"/>
    </row>
    <row r="36" spans="1:9" ht="15.75" thickBot="1" x14ac:dyDescent="0.3">
      <c r="A36" s="6"/>
      <c r="B36" s="212"/>
      <c r="C36" s="213"/>
      <c r="D36" s="213"/>
      <c r="E36" s="213"/>
      <c r="F36" s="213"/>
      <c r="G36" s="213"/>
      <c r="H36" s="214"/>
      <c r="I36" s="11"/>
    </row>
    <row r="37" spans="1:9" ht="15.75" customHeight="1" thickBot="1" x14ac:dyDescent="0.3">
      <c r="A37" s="6"/>
      <c r="B37" s="215" t="s">
        <v>101</v>
      </c>
      <c r="C37" s="216"/>
      <c r="D37" s="216"/>
      <c r="E37" s="216"/>
      <c r="F37" s="9" t="s">
        <v>239</v>
      </c>
      <c r="G37" s="9" t="s">
        <v>236</v>
      </c>
      <c r="H37" s="8" t="s">
        <v>234</v>
      </c>
      <c r="I37" s="11"/>
    </row>
    <row r="38" spans="1:9" ht="15.75" customHeight="1" thickBot="1" x14ac:dyDescent="0.3">
      <c r="A38" s="6"/>
      <c r="B38" s="217"/>
      <c r="C38" s="218"/>
      <c r="D38" s="218"/>
      <c r="E38" s="218"/>
      <c r="F38" s="9" t="s">
        <v>240</v>
      </c>
      <c r="G38" s="9">
        <v>1</v>
      </c>
      <c r="H38" s="184">
        <f>SUM(H23:H35)/G38</f>
        <v>47.283611111111107</v>
      </c>
      <c r="I38" s="11"/>
    </row>
    <row r="39" spans="1:9" ht="15.75" thickBot="1" x14ac:dyDescent="0.3">
      <c r="A39" s="6"/>
      <c r="B39" s="219"/>
      <c r="C39" s="220"/>
      <c r="D39" s="220"/>
      <c r="E39" s="220"/>
      <c r="F39" s="91" t="s">
        <v>241</v>
      </c>
      <c r="G39" s="91">
        <v>2</v>
      </c>
      <c r="H39" s="184">
        <f>SUM(H23:H35)/G39</f>
        <v>23.641805555555553</v>
      </c>
      <c r="I39" s="11"/>
    </row>
    <row r="40" spans="1:9" x14ac:dyDescent="0.25">
      <c r="A40" s="6"/>
      <c r="B40" s="6"/>
      <c r="C40" s="6"/>
      <c r="D40" s="6"/>
      <c r="E40" s="6"/>
      <c r="F40" s="6"/>
      <c r="G40" s="13"/>
      <c r="H40" s="10"/>
      <c r="I40" s="6"/>
    </row>
    <row r="41" spans="1:9" ht="15.75" thickBot="1" x14ac:dyDescent="0.3">
      <c r="A41" s="6"/>
      <c r="B41" s="6"/>
      <c r="C41" s="6"/>
      <c r="D41" s="6"/>
      <c r="E41" s="6"/>
      <c r="F41" s="6"/>
      <c r="G41" s="10"/>
      <c r="H41" s="7"/>
      <c r="I41" s="6"/>
    </row>
    <row r="42" spans="1:9" ht="19.5" thickBot="1" x14ac:dyDescent="0.3">
      <c r="A42" s="6"/>
      <c r="B42" s="205" t="s">
        <v>190</v>
      </c>
      <c r="C42" s="206"/>
      <c r="D42" s="206"/>
      <c r="E42" s="206"/>
      <c r="F42" s="206"/>
      <c r="G42" s="206"/>
      <c r="H42" s="207"/>
      <c r="I42" s="6"/>
    </row>
    <row r="43" spans="1:9" x14ac:dyDescent="0.25">
      <c r="A43" s="6"/>
      <c r="B43" s="227" t="s">
        <v>115</v>
      </c>
      <c r="C43" s="228"/>
      <c r="D43" s="228"/>
      <c r="E43" s="229"/>
      <c r="F43" s="208" t="s">
        <v>116</v>
      </c>
      <c r="G43" s="208" t="s">
        <v>117</v>
      </c>
      <c r="H43" s="210" t="s">
        <v>118</v>
      </c>
      <c r="I43" s="11"/>
    </row>
    <row r="44" spans="1:9" x14ac:dyDescent="0.25">
      <c r="A44" s="6"/>
      <c r="B44" s="230"/>
      <c r="C44" s="231"/>
      <c r="D44" s="231"/>
      <c r="E44" s="232"/>
      <c r="F44" s="233"/>
      <c r="G44" s="233"/>
      <c r="H44" s="234"/>
      <c r="I44" s="11"/>
    </row>
    <row r="45" spans="1:9" ht="15.75" thickBot="1" x14ac:dyDescent="0.3">
      <c r="A45" s="6"/>
      <c r="B45" s="224" t="s">
        <v>119</v>
      </c>
      <c r="C45" s="225"/>
      <c r="D45" s="225"/>
      <c r="E45" s="226"/>
      <c r="F45" s="145">
        <v>1500</v>
      </c>
      <c r="G45" s="15">
        <v>12</v>
      </c>
      <c r="H45" s="146">
        <f>F45/G45</f>
        <v>125</v>
      </c>
      <c r="I45" s="11"/>
    </row>
    <row r="46" spans="1:9" ht="15.75" thickBot="1" x14ac:dyDescent="0.3">
      <c r="A46" s="6"/>
      <c r="B46" s="217"/>
      <c r="C46" s="218"/>
      <c r="D46" s="218"/>
      <c r="E46" s="218"/>
      <c r="F46" s="218"/>
      <c r="G46" s="218"/>
      <c r="H46" s="221"/>
      <c r="I46" s="11"/>
    </row>
    <row r="47" spans="1:9" ht="30.75" thickBot="1" x14ac:dyDescent="0.3">
      <c r="A47" s="6"/>
      <c r="B47" s="215" t="s">
        <v>101</v>
      </c>
      <c r="C47" s="216"/>
      <c r="D47" s="216"/>
      <c r="E47" s="222"/>
      <c r="F47" s="16" t="s">
        <v>112</v>
      </c>
      <c r="G47" s="17" t="s">
        <v>237</v>
      </c>
      <c r="H47" s="18" t="s">
        <v>191</v>
      </c>
      <c r="I47" s="6"/>
    </row>
    <row r="48" spans="1:9" ht="15.75" thickBot="1" x14ac:dyDescent="0.3">
      <c r="A48" s="6"/>
      <c r="B48" s="217"/>
      <c r="C48" s="218"/>
      <c r="D48" s="218"/>
      <c r="E48" s="221"/>
      <c r="F48" s="19" t="s">
        <v>265</v>
      </c>
      <c r="G48" s="9">
        <v>5</v>
      </c>
      <c r="H48" s="182">
        <f>H45/G48</f>
        <v>25</v>
      </c>
      <c r="I48" s="6"/>
    </row>
    <row r="49" spans="1:9" ht="15.75" thickBot="1" x14ac:dyDescent="0.3">
      <c r="A49" s="6"/>
      <c r="B49" s="217"/>
      <c r="C49" s="218"/>
      <c r="D49" s="218"/>
      <c r="E49" s="221"/>
      <c r="F49" s="189" t="s">
        <v>266</v>
      </c>
      <c r="G49" s="188">
        <v>4</v>
      </c>
      <c r="H49" s="183">
        <f>H45/G49</f>
        <v>31.25</v>
      </c>
      <c r="I49" s="6"/>
    </row>
    <row r="50" spans="1:9" ht="15.75" thickBot="1" x14ac:dyDescent="0.3">
      <c r="A50" s="6"/>
      <c r="B50" s="219"/>
      <c r="C50" s="220"/>
      <c r="D50" s="220"/>
      <c r="E50" s="223"/>
      <c r="F50" s="189" t="s">
        <v>267</v>
      </c>
      <c r="G50" s="188">
        <v>2</v>
      </c>
      <c r="H50" s="183">
        <f>H45/G50</f>
        <v>62.5</v>
      </c>
      <c r="I50" s="6"/>
    </row>
    <row r="51" spans="1:9" x14ac:dyDescent="0.25">
      <c r="A51" s="6"/>
      <c r="B51" s="6"/>
      <c r="C51" s="6"/>
      <c r="D51" s="6"/>
      <c r="E51" s="6"/>
      <c r="F51" s="6"/>
      <c r="G51" s="13"/>
      <c r="H51" s="10"/>
      <c r="I51" s="6"/>
    </row>
    <row r="52" spans="1:9" x14ac:dyDescent="0.25">
      <c r="A52" s="6"/>
      <c r="B52" s="6"/>
      <c r="C52" s="6"/>
      <c r="D52" s="6"/>
      <c r="E52" s="6"/>
      <c r="F52" s="6"/>
      <c r="G52" s="10"/>
      <c r="H52" s="7"/>
      <c r="I52" s="6"/>
    </row>
    <row r="53" spans="1:9" x14ac:dyDescent="0.25">
      <c r="A53" s="6"/>
      <c r="B53" s="6"/>
      <c r="C53" s="6"/>
      <c r="D53" s="6"/>
      <c r="E53" s="6"/>
      <c r="F53" s="6"/>
      <c r="G53" s="10"/>
      <c r="H53" s="7"/>
      <c r="I53" s="6"/>
    </row>
    <row r="54" spans="1:9" x14ac:dyDescent="0.25">
      <c r="A54" s="6"/>
      <c r="B54" s="6"/>
      <c r="C54" s="6"/>
      <c r="D54" s="6"/>
      <c r="E54" s="6"/>
      <c r="F54" s="6"/>
      <c r="G54" s="10"/>
      <c r="H54" s="7"/>
      <c r="I54" s="6"/>
    </row>
    <row r="55" spans="1:9" x14ac:dyDescent="0.25">
      <c r="A55" s="6"/>
      <c r="B55" s="6"/>
      <c r="C55" s="6"/>
      <c r="D55" s="6"/>
      <c r="E55" s="6"/>
      <c r="F55" s="6"/>
      <c r="G55" s="10"/>
      <c r="H55" s="7"/>
      <c r="I55" s="6"/>
    </row>
    <row r="56" spans="1:9" x14ac:dyDescent="0.25">
      <c r="A56" s="6"/>
      <c r="B56" s="6"/>
      <c r="C56" s="6"/>
      <c r="D56" s="6"/>
      <c r="E56" s="6"/>
      <c r="F56" s="6"/>
      <c r="G56" s="10"/>
      <c r="H56" s="7"/>
      <c r="I56" s="6"/>
    </row>
  </sheetData>
  <mergeCells count="29">
    <mergeCell ref="B17:G17"/>
    <mergeCell ref="B20:H20"/>
    <mergeCell ref="B21:B22"/>
    <mergeCell ref="B1:I1"/>
    <mergeCell ref="B2:H2"/>
    <mergeCell ref="B3:H3"/>
    <mergeCell ref="B4:B5"/>
    <mergeCell ref="D4:D5"/>
    <mergeCell ref="E4:E5"/>
    <mergeCell ref="F4:F5"/>
    <mergeCell ref="G4:G5"/>
    <mergeCell ref="H4:H5"/>
    <mergeCell ref="C4:C5"/>
    <mergeCell ref="C21:C22"/>
    <mergeCell ref="D21:D22"/>
    <mergeCell ref="E21:E22"/>
    <mergeCell ref="B46:H46"/>
    <mergeCell ref="B47:E50"/>
    <mergeCell ref="B45:E45"/>
    <mergeCell ref="B43:E44"/>
    <mergeCell ref="F43:F44"/>
    <mergeCell ref="G43:G44"/>
    <mergeCell ref="H43:H44"/>
    <mergeCell ref="B42:H42"/>
    <mergeCell ref="F21:F22"/>
    <mergeCell ref="G21:G22"/>
    <mergeCell ref="H21:H22"/>
    <mergeCell ref="B36:H36"/>
    <mergeCell ref="B37:E39"/>
  </mergeCells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ilha1"/>
  <dimension ref="A1:WVO176"/>
  <sheetViews>
    <sheetView topLeftCell="A6" zoomScale="85" zoomScaleNormal="85" workbookViewId="0">
      <selection activeCell="C12" sqref="C12:D12"/>
    </sheetView>
  </sheetViews>
  <sheetFormatPr defaultColWidth="0" defaultRowHeight="15.75" customHeight="1" zeroHeight="1" outlineLevelRow="3" x14ac:dyDescent="0.3"/>
  <cols>
    <col min="1" max="1" width="18.7109375" style="21" customWidth="1"/>
    <col min="2" max="2" width="72" style="21" customWidth="1"/>
    <col min="3" max="3" width="22.85546875" style="21" customWidth="1"/>
    <col min="4" max="4" width="29.85546875" style="21" customWidth="1"/>
    <col min="5" max="5" width="11.85546875" style="81" customWidth="1"/>
    <col min="6" max="6" width="9.140625" style="81" customWidth="1"/>
    <col min="7" max="254" width="9.140625" style="81" hidden="1"/>
    <col min="255" max="255" width="18.7109375" style="81" hidden="1"/>
    <col min="256" max="256" width="72" style="81" hidden="1"/>
    <col min="257" max="257" width="22.85546875" style="81" hidden="1"/>
    <col min="258" max="258" width="29.85546875" style="81" hidden="1"/>
    <col min="259" max="260" width="9.140625" style="81" hidden="1"/>
    <col min="261" max="261" width="15.42578125" style="81" hidden="1"/>
    <col min="262" max="510" width="9.140625" style="81" hidden="1"/>
    <col min="511" max="511" width="18.7109375" style="81" hidden="1"/>
    <col min="512" max="512" width="72" style="81" hidden="1"/>
    <col min="513" max="513" width="22.85546875" style="81" hidden="1"/>
    <col min="514" max="514" width="29.85546875" style="81" hidden="1"/>
    <col min="515" max="516" width="9.140625" style="81" hidden="1"/>
    <col min="517" max="517" width="15.42578125" style="81" hidden="1"/>
    <col min="518" max="766" width="9.140625" style="81" hidden="1"/>
    <col min="767" max="767" width="18.7109375" style="81" hidden="1"/>
    <col min="768" max="768" width="72" style="81" hidden="1"/>
    <col min="769" max="769" width="22.85546875" style="81" hidden="1"/>
    <col min="770" max="770" width="29.85546875" style="81" hidden="1"/>
    <col min="771" max="772" width="9.140625" style="81" hidden="1"/>
    <col min="773" max="773" width="15.42578125" style="81" hidden="1"/>
    <col min="774" max="1022" width="9.140625" style="81" hidden="1"/>
    <col min="1023" max="1023" width="18.7109375" style="81" hidden="1"/>
    <col min="1024" max="1024" width="72" style="81" hidden="1"/>
    <col min="1025" max="1025" width="22.85546875" style="81" hidden="1"/>
    <col min="1026" max="1026" width="29.85546875" style="81" hidden="1"/>
    <col min="1027" max="1028" width="9.140625" style="81" hidden="1"/>
    <col min="1029" max="1029" width="15.42578125" style="81" hidden="1"/>
    <col min="1030" max="1278" width="9.140625" style="81" hidden="1"/>
    <col min="1279" max="1279" width="18.7109375" style="81" hidden="1"/>
    <col min="1280" max="1280" width="72" style="81" hidden="1"/>
    <col min="1281" max="1281" width="22.85546875" style="81" hidden="1"/>
    <col min="1282" max="1282" width="29.85546875" style="81" hidden="1"/>
    <col min="1283" max="1284" width="9.140625" style="81" hidden="1"/>
    <col min="1285" max="1285" width="15.42578125" style="81" hidden="1"/>
    <col min="1286" max="1534" width="9.140625" style="81" hidden="1"/>
    <col min="1535" max="1535" width="18.7109375" style="81" hidden="1"/>
    <col min="1536" max="1536" width="72" style="81" hidden="1"/>
    <col min="1537" max="1537" width="22.85546875" style="81" hidden="1"/>
    <col min="1538" max="1538" width="29.85546875" style="81" hidden="1"/>
    <col min="1539" max="1540" width="9.140625" style="81" hidden="1"/>
    <col min="1541" max="1541" width="15.42578125" style="81" hidden="1"/>
    <col min="1542" max="1790" width="9.140625" style="81" hidden="1"/>
    <col min="1791" max="1791" width="18.7109375" style="81" hidden="1"/>
    <col min="1792" max="1792" width="72" style="81" hidden="1"/>
    <col min="1793" max="1793" width="22.85546875" style="81" hidden="1"/>
    <col min="1794" max="1794" width="29.85546875" style="81" hidden="1"/>
    <col min="1795" max="1796" width="9.140625" style="81" hidden="1"/>
    <col min="1797" max="1797" width="15.42578125" style="81" hidden="1"/>
    <col min="1798" max="2046" width="9.140625" style="81" hidden="1"/>
    <col min="2047" max="2047" width="18.7109375" style="81" hidden="1"/>
    <col min="2048" max="2048" width="72" style="81" hidden="1"/>
    <col min="2049" max="2049" width="22.85546875" style="81" hidden="1"/>
    <col min="2050" max="2050" width="29.85546875" style="81" hidden="1"/>
    <col min="2051" max="2052" width="9.140625" style="81" hidden="1"/>
    <col min="2053" max="2053" width="15.42578125" style="81" hidden="1"/>
    <col min="2054" max="2302" width="9.140625" style="81" hidden="1"/>
    <col min="2303" max="2303" width="18.7109375" style="81" hidden="1"/>
    <col min="2304" max="2304" width="72" style="81" hidden="1"/>
    <col min="2305" max="2305" width="22.85546875" style="81" hidden="1"/>
    <col min="2306" max="2306" width="29.85546875" style="81" hidden="1"/>
    <col min="2307" max="2308" width="9.140625" style="81" hidden="1"/>
    <col min="2309" max="2309" width="15.42578125" style="81" hidden="1"/>
    <col min="2310" max="2558" width="9.140625" style="81" hidden="1"/>
    <col min="2559" max="2559" width="18.7109375" style="81" hidden="1"/>
    <col min="2560" max="2560" width="72" style="81" hidden="1"/>
    <col min="2561" max="2561" width="22.85546875" style="81" hidden="1"/>
    <col min="2562" max="2562" width="29.85546875" style="81" hidden="1"/>
    <col min="2563" max="2564" width="9.140625" style="81" hidden="1"/>
    <col min="2565" max="2565" width="15.42578125" style="81" hidden="1"/>
    <col min="2566" max="2814" width="9.140625" style="81" hidden="1"/>
    <col min="2815" max="2815" width="18.7109375" style="81" hidden="1"/>
    <col min="2816" max="2816" width="72" style="81" hidden="1"/>
    <col min="2817" max="2817" width="22.85546875" style="81" hidden="1"/>
    <col min="2818" max="2818" width="29.85546875" style="81" hidden="1"/>
    <col min="2819" max="2820" width="9.140625" style="81" hidden="1"/>
    <col min="2821" max="2821" width="15.42578125" style="81" hidden="1"/>
    <col min="2822" max="3070" width="9.140625" style="81" hidden="1"/>
    <col min="3071" max="3071" width="18.7109375" style="81" hidden="1"/>
    <col min="3072" max="3072" width="72" style="81" hidden="1"/>
    <col min="3073" max="3073" width="22.85546875" style="81" hidden="1"/>
    <col min="3074" max="3074" width="29.85546875" style="81" hidden="1"/>
    <col min="3075" max="3076" width="9.140625" style="81" hidden="1"/>
    <col min="3077" max="3077" width="15.42578125" style="81" hidden="1"/>
    <col min="3078" max="3326" width="9.140625" style="81" hidden="1"/>
    <col min="3327" max="3327" width="18.7109375" style="81" hidden="1"/>
    <col min="3328" max="3328" width="72" style="81" hidden="1"/>
    <col min="3329" max="3329" width="22.85546875" style="81" hidden="1"/>
    <col min="3330" max="3330" width="29.85546875" style="81" hidden="1"/>
    <col min="3331" max="3332" width="9.140625" style="81" hidden="1"/>
    <col min="3333" max="3333" width="15.42578125" style="81" hidden="1"/>
    <col min="3334" max="3582" width="9.140625" style="81" hidden="1"/>
    <col min="3583" max="3583" width="18.7109375" style="81" hidden="1"/>
    <col min="3584" max="3584" width="72" style="81" hidden="1"/>
    <col min="3585" max="3585" width="22.85546875" style="81" hidden="1"/>
    <col min="3586" max="3586" width="29.85546875" style="81" hidden="1"/>
    <col min="3587" max="3588" width="9.140625" style="81" hidden="1"/>
    <col min="3589" max="3589" width="15.42578125" style="81" hidden="1"/>
    <col min="3590" max="3838" width="9.140625" style="81" hidden="1"/>
    <col min="3839" max="3839" width="18.7109375" style="81" hidden="1"/>
    <col min="3840" max="3840" width="72" style="81" hidden="1"/>
    <col min="3841" max="3841" width="22.85546875" style="81" hidden="1"/>
    <col min="3842" max="3842" width="29.85546875" style="81" hidden="1"/>
    <col min="3843" max="3844" width="9.140625" style="81" hidden="1"/>
    <col min="3845" max="3845" width="15.42578125" style="81" hidden="1"/>
    <col min="3846" max="4094" width="9.140625" style="81" hidden="1"/>
    <col min="4095" max="4095" width="18.7109375" style="81" hidden="1"/>
    <col min="4096" max="4096" width="72" style="81" hidden="1"/>
    <col min="4097" max="4097" width="22.85546875" style="81" hidden="1"/>
    <col min="4098" max="4098" width="29.85546875" style="81" hidden="1"/>
    <col min="4099" max="4100" width="9.140625" style="81" hidden="1"/>
    <col min="4101" max="4101" width="15.42578125" style="81" hidden="1"/>
    <col min="4102" max="4350" width="9.140625" style="81" hidden="1"/>
    <col min="4351" max="4351" width="18.7109375" style="81" hidden="1"/>
    <col min="4352" max="4352" width="72" style="81" hidden="1"/>
    <col min="4353" max="4353" width="22.85546875" style="81" hidden="1"/>
    <col min="4354" max="4354" width="29.85546875" style="81" hidden="1"/>
    <col min="4355" max="4356" width="9.140625" style="81" hidden="1"/>
    <col min="4357" max="4357" width="15.42578125" style="81" hidden="1"/>
    <col min="4358" max="4606" width="9.140625" style="81" hidden="1"/>
    <col min="4607" max="4607" width="18.7109375" style="81" hidden="1"/>
    <col min="4608" max="4608" width="72" style="81" hidden="1"/>
    <col min="4609" max="4609" width="22.85546875" style="81" hidden="1"/>
    <col min="4610" max="4610" width="29.85546875" style="81" hidden="1"/>
    <col min="4611" max="4612" width="9.140625" style="81" hidden="1"/>
    <col min="4613" max="4613" width="15.42578125" style="81" hidden="1"/>
    <col min="4614" max="4862" width="9.140625" style="81" hidden="1"/>
    <col min="4863" max="4863" width="18.7109375" style="81" hidden="1"/>
    <col min="4864" max="4864" width="72" style="81" hidden="1"/>
    <col min="4865" max="4865" width="22.85546875" style="81" hidden="1"/>
    <col min="4866" max="4866" width="29.85546875" style="81" hidden="1"/>
    <col min="4867" max="4868" width="9.140625" style="81" hidden="1"/>
    <col min="4869" max="4869" width="15.42578125" style="81" hidden="1"/>
    <col min="4870" max="5118" width="9.140625" style="81" hidden="1"/>
    <col min="5119" max="5119" width="18.7109375" style="81" hidden="1"/>
    <col min="5120" max="5120" width="72" style="81" hidden="1"/>
    <col min="5121" max="5121" width="22.85546875" style="81" hidden="1"/>
    <col min="5122" max="5122" width="29.85546875" style="81" hidden="1"/>
    <col min="5123" max="5124" width="9.140625" style="81" hidden="1"/>
    <col min="5125" max="5125" width="15.42578125" style="81" hidden="1"/>
    <col min="5126" max="5374" width="9.140625" style="81" hidden="1"/>
    <col min="5375" max="5375" width="18.7109375" style="81" hidden="1"/>
    <col min="5376" max="5376" width="72" style="81" hidden="1"/>
    <col min="5377" max="5377" width="22.85546875" style="81" hidden="1"/>
    <col min="5378" max="5378" width="29.85546875" style="81" hidden="1"/>
    <col min="5379" max="5380" width="9.140625" style="81" hidden="1"/>
    <col min="5381" max="5381" width="15.42578125" style="81" hidden="1"/>
    <col min="5382" max="5630" width="9.140625" style="81" hidden="1"/>
    <col min="5631" max="5631" width="18.7109375" style="81" hidden="1"/>
    <col min="5632" max="5632" width="72" style="81" hidden="1"/>
    <col min="5633" max="5633" width="22.85546875" style="81" hidden="1"/>
    <col min="5634" max="5634" width="29.85546875" style="81" hidden="1"/>
    <col min="5635" max="5636" width="9.140625" style="81" hidden="1"/>
    <col min="5637" max="5637" width="15.42578125" style="81" hidden="1"/>
    <col min="5638" max="5886" width="9.140625" style="81" hidden="1"/>
    <col min="5887" max="5887" width="18.7109375" style="81" hidden="1"/>
    <col min="5888" max="5888" width="72" style="81" hidden="1"/>
    <col min="5889" max="5889" width="22.85546875" style="81" hidden="1"/>
    <col min="5890" max="5890" width="29.85546875" style="81" hidden="1"/>
    <col min="5891" max="5892" width="9.140625" style="81" hidden="1"/>
    <col min="5893" max="5893" width="15.42578125" style="81" hidden="1"/>
    <col min="5894" max="6142" width="9.140625" style="81" hidden="1"/>
    <col min="6143" max="6143" width="18.7109375" style="81" hidden="1"/>
    <col min="6144" max="6144" width="72" style="81" hidden="1"/>
    <col min="6145" max="6145" width="22.85546875" style="81" hidden="1"/>
    <col min="6146" max="6146" width="29.85546875" style="81" hidden="1"/>
    <col min="6147" max="6148" width="9.140625" style="81" hidden="1"/>
    <col min="6149" max="6149" width="15.42578125" style="81" hidden="1"/>
    <col min="6150" max="6398" width="9.140625" style="81" hidden="1"/>
    <col min="6399" max="6399" width="18.7109375" style="81" hidden="1"/>
    <col min="6400" max="6400" width="72" style="81" hidden="1"/>
    <col min="6401" max="6401" width="22.85546875" style="81" hidden="1"/>
    <col min="6402" max="6402" width="29.85546875" style="81" hidden="1"/>
    <col min="6403" max="6404" width="9.140625" style="81" hidden="1"/>
    <col min="6405" max="6405" width="15.42578125" style="81" hidden="1"/>
    <col min="6406" max="6654" width="9.140625" style="81" hidden="1"/>
    <col min="6655" max="6655" width="18.7109375" style="81" hidden="1"/>
    <col min="6656" max="6656" width="72" style="81" hidden="1"/>
    <col min="6657" max="6657" width="22.85546875" style="81" hidden="1"/>
    <col min="6658" max="6658" width="29.85546875" style="81" hidden="1"/>
    <col min="6659" max="6660" width="9.140625" style="81" hidden="1"/>
    <col min="6661" max="6661" width="15.42578125" style="81" hidden="1"/>
    <col min="6662" max="6910" width="9.140625" style="81" hidden="1"/>
    <col min="6911" max="6911" width="18.7109375" style="81" hidden="1"/>
    <col min="6912" max="6912" width="72" style="81" hidden="1"/>
    <col min="6913" max="6913" width="22.85546875" style="81" hidden="1"/>
    <col min="6914" max="6914" width="29.85546875" style="81" hidden="1"/>
    <col min="6915" max="6916" width="9.140625" style="81" hidden="1"/>
    <col min="6917" max="6917" width="15.42578125" style="81" hidden="1"/>
    <col min="6918" max="7166" width="9.140625" style="81" hidden="1"/>
    <col min="7167" max="7167" width="18.7109375" style="81" hidden="1"/>
    <col min="7168" max="7168" width="72" style="81" hidden="1"/>
    <col min="7169" max="7169" width="22.85546875" style="81" hidden="1"/>
    <col min="7170" max="7170" width="29.85546875" style="81" hidden="1"/>
    <col min="7171" max="7172" width="9.140625" style="81" hidden="1"/>
    <col min="7173" max="7173" width="15.42578125" style="81" hidden="1"/>
    <col min="7174" max="7422" width="9.140625" style="81" hidden="1"/>
    <col min="7423" max="7423" width="18.7109375" style="81" hidden="1"/>
    <col min="7424" max="7424" width="72" style="81" hidden="1"/>
    <col min="7425" max="7425" width="22.85546875" style="81" hidden="1"/>
    <col min="7426" max="7426" width="29.85546875" style="81" hidden="1"/>
    <col min="7427" max="7428" width="9.140625" style="81" hidden="1"/>
    <col min="7429" max="7429" width="15.42578125" style="81" hidden="1"/>
    <col min="7430" max="7678" width="9.140625" style="81" hidden="1"/>
    <col min="7679" max="7679" width="18.7109375" style="81" hidden="1"/>
    <col min="7680" max="7680" width="72" style="81" hidden="1"/>
    <col min="7681" max="7681" width="22.85546875" style="81" hidden="1"/>
    <col min="7682" max="7682" width="29.85546875" style="81" hidden="1"/>
    <col min="7683" max="7684" width="9.140625" style="81" hidden="1"/>
    <col min="7685" max="7685" width="15.42578125" style="81" hidden="1"/>
    <col min="7686" max="7934" width="9.140625" style="81" hidden="1"/>
    <col min="7935" max="7935" width="18.7109375" style="81" hidden="1"/>
    <col min="7936" max="7936" width="72" style="81" hidden="1"/>
    <col min="7937" max="7937" width="22.85546875" style="81" hidden="1"/>
    <col min="7938" max="7938" width="29.85546875" style="81" hidden="1"/>
    <col min="7939" max="7940" width="9.140625" style="81" hidden="1"/>
    <col min="7941" max="7941" width="15.42578125" style="81" hidden="1"/>
    <col min="7942" max="8190" width="9.140625" style="81" hidden="1"/>
    <col min="8191" max="8191" width="18.7109375" style="81" hidden="1"/>
    <col min="8192" max="8192" width="72" style="81" hidden="1"/>
    <col min="8193" max="8193" width="22.85546875" style="81" hidden="1"/>
    <col min="8194" max="8194" width="29.85546875" style="81" hidden="1"/>
    <col min="8195" max="8196" width="9.140625" style="81" hidden="1"/>
    <col min="8197" max="8197" width="15.42578125" style="81" hidden="1"/>
    <col min="8198" max="8446" width="9.140625" style="81" hidden="1"/>
    <col min="8447" max="8447" width="18.7109375" style="81" hidden="1"/>
    <col min="8448" max="8448" width="72" style="81" hidden="1"/>
    <col min="8449" max="8449" width="22.85546875" style="81" hidden="1"/>
    <col min="8450" max="8450" width="29.85546875" style="81" hidden="1"/>
    <col min="8451" max="8452" width="9.140625" style="81" hidden="1"/>
    <col min="8453" max="8453" width="15.42578125" style="81" hidden="1"/>
    <col min="8454" max="8702" width="9.140625" style="81" hidden="1"/>
    <col min="8703" max="8703" width="18.7109375" style="81" hidden="1"/>
    <col min="8704" max="8704" width="72" style="81" hidden="1"/>
    <col min="8705" max="8705" width="22.85546875" style="81" hidden="1"/>
    <col min="8706" max="8706" width="29.85546875" style="81" hidden="1"/>
    <col min="8707" max="8708" width="9.140625" style="81" hidden="1"/>
    <col min="8709" max="8709" width="15.42578125" style="81" hidden="1"/>
    <col min="8710" max="8958" width="9.140625" style="81" hidden="1"/>
    <col min="8959" max="8959" width="18.7109375" style="81" hidden="1"/>
    <col min="8960" max="8960" width="72" style="81" hidden="1"/>
    <col min="8961" max="8961" width="22.85546875" style="81" hidden="1"/>
    <col min="8962" max="8962" width="29.85546875" style="81" hidden="1"/>
    <col min="8963" max="8964" width="9.140625" style="81" hidden="1"/>
    <col min="8965" max="8965" width="15.42578125" style="81" hidden="1"/>
    <col min="8966" max="9214" width="9.140625" style="81" hidden="1"/>
    <col min="9215" max="9215" width="18.7109375" style="81" hidden="1"/>
    <col min="9216" max="9216" width="72" style="81" hidden="1"/>
    <col min="9217" max="9217" width="22.85546875" style="81" hidden="1"/>
    <col min="9218" max="9218" width="29.85546875" style="81" hidden="1"/>
    <col min="9219" max="9220" width="9.140625" style="81" hidden="1"/>
    <col min="9221" max="9221" width="15.42578125" style="81" hidden="1"/>
    <col min="9222" max="9470" width="9.140625" style="81" hidden="1"/>
    <col min="9471" max="9471" width="18.7109375" style="81" hidden="1"/>
    <col min="9472" max="9472" width="72" style="81" hidden="1"/>
    <col min="9473" max="9473" width="22.85546875" style="81" hidden="1"/>
    <col min="9474" max="9474" width="29.85546875" style="81" hidden="1"/>
    <col min="9475" max="9476" width="9.140625" style="81" hidden="1"/>
    <col min="9477" max="9477" width="15.42578125" style="81" hidden="1"/>
    <col min="9478" max="9726" width="9.140625" style="81" hidden="1"/>
    <col min="9727" max="9727" width="18.7109375" style="81" hidden="1"/>
    <col min="9728" max="9728" width="72" style="81" hidden="1"/>
    <col min="9729" max="9729" width="22.85546875" style="81" hidden="1"/>
    <col min="9730" max="9730" width="29.85546875" style="81" hidden="1"/>
    <col min="9731" max="9732" width="9.140625" style="81" hidden="1"/>
    <col min="9733" max="9733" width="15.42578125" style="81" hidden="1"/>
    <col min="9734" max="9982" width="9.140625" style="81" hidden="1"/>
    <col min="9983" max="9983" width="18.7109375" style="81" hidden="1"/>
    <col min="9984" max="9984" width="72" style="81" hidden="1"/>
    <col min="9985" max="9985" width="22.85546875" style="81" hidden="1"/>
    <col min="9986" max="9986" width="29.85546875" style="81" hidden="1"/>
    <col min="9987" max="9988" width="9.140625" style="81" hidden="1"/>
    <col min="9989" max="9989" width="15.42578125" style="81" hidden="1"/>
    <col min="9990" max="10238" width="9.140625" style="81" hidden="1"/>
    <col min="10239" max="10239" width="18.7109375" style="81" hidden="1"/>
    <col min="10240" max="10240" width="72" style="81" hidden="1"/>
    <col min="10241" max="10241" width="22.85546875" style="81" hidden="1"/>
    <col min="10242" max="10242" width="29.85546875" style="81" hidden="1"/>
    <col min="10243" max="10244" width="9.140625" style="81" hidden="1"/>
    <col min="10245" max="10245" width="15.42578125" style="81" hidden="1"/>
    <col min="10246" max="10494" width="9.140625" style="81" hidden="1"/>
    <col min="10495" max="10495" width="18.7109375" style="81" hidden="1"/>
    <col min="10496" max="10496" width="72" style="81" hidden="1"/>
    <col min="10497" max="10497" width="22.85546875" style="81" hidden="1"/>
    <col min="10498" max="10498" width="29.85546875" style="81" hidden="1"/>
    <col min="10499" max="10500" width="9.140625" style="81" hidden="1"/>
    <col min="10501" max="10501" width="15.42578125" style="81" hidden="1"/>
    <col min="10502" max="10750" width="9.140625" style="81" hidden="1"/>
    <col min="10751" max="10751" width="18.7109375" style="81" hidden="1"/>
    <col min="10752" max="10752" width="72" style="81" hidden="1"/>
    <col min="10753" max="10753" width="22.85546875" style="81" hidden="1"/>
    <col min="10754" max="10754" width="29.85546875" style="81" hidden="1"/>
    <col min="10755" max="10756" width="9.140625" style="81" hidden="1"/>
    <col min="10757" max="10757" width="15.42578125" style="81" hidden="1"/>
    <col min="10758" max="11006" width="9.140625" style="81" hidden="1"/>
    <col min="11007" max="11007" width="18.7109375" style="81" hidden="1"/>
    <col min="11008" max="11008" width="72" style="81" hidden="1"/>
    <col min="11009" max="11009" width="22.85546875" style="81" hidden="1"/>
    <col min="11010" max="11010" width="29.85546875" style="81" hidden="1"/>
    <col min="11011" max="11012" width="9.140625" style="81" hidden="1"/>
    <col min="11013" max="11013" width="15.42578125" style="81" hidden="1"/>
    <col min="11014" max="11262" width="9.140625" style="81" hidden="1"/>
    <col min="11263" max="11263" width="18.7109375" style="81" hidden="1"/>
    <col min="11264" max="11264" width="72" style="81" hidden="1"/>
    <col min="11265" max="11265" width="22.85546875" style="81" hidden="1"/>
    <col min="11266" max="11266" width="29.85546875" style="81" hidden="1"/>
    <col min="11267" max="11268" width="9.140625" style="81" hidden="1"/>
    <col min="11269" max="11269" width="15.42578125" style="81" hidden="1"/>
    <col min="11270" max="11518" width="9.140625" style="81" hidden="1"/>
    <col min="11519" max="11519" width="18.7109375" style="81" hidden="1"/>
    <col min="11520" max="11520" width="72" style="81" hidden="1"/>
    <col min="11521" max="11521" width="22.85546875" style="81" hidden="1"/>
    <col min="11522" max="11522" width="29.85546875" style="81" hidden="1"/>
    <col min="11523" max="11524" width="9.140625" style="81" hidden="1"/>
    <col min="11525" max="11525" width="15.42578125" style="81" hidden="1"/>
    <col min="11526" max="11774" width="9.140625" style="81" hidden="1"/>
    <col min="11775" max="11775" width="18.7109375" style="81" hidden="1"/>
    <col min="11776" max="11776" width="72" style="81" hidden="1"/>
    <col min="11777" max="11777" width="22.85546875" style="81" hidden="1"/>
    <col min="11778" max="11778" width="29.85546875" style="81" hidden="1"/>
    <col min="11779" max="11780" width="9.140625" style="81" hidden="1"/>
    <col min="11781" max="11781" width="15.42578125" style="81" hidden="1"/>
    <col min="11782" max="12030" width="9.140625" style="81" hidden="1"/>
    <col min="12031" max="12031" width="18.7109375" style="81" hidden="1"/>
    <col min="12032" max="12032" width="72" style="81" hidden="1"/>
    <col min="12033" max="12033" width="22.85546875" style="81" hidden="1"/>
    <col min="12034" max="12034" width="29.85546875" style="81" hidden="1"/>
    <col min="12035" max="12036" width="9.140625" style="81" hidden="1"/>
    <col min="12037" max="12037" width="15.42578125" style="81" hidden="1"/>
    <col min="12038" max="12286" width="9.140625" style="81" hidden="1"/>
    <col min="12287" max="12287" width="18.7109375" style="81" hidden="1"/>
    <col min="12288" max="12288" width="72" style="81" hidden="1"/>
    <col min="12289" max="12289" width="22.85546875" style="81" hidden="1"/>
    <col min="12290" max="12290" width="29.85546875" style="81" hidden="1"/>
    <col min="12291" max="12292" width="9.140625" style="81" hidden="1"/>
    <col min="12293" max="12293" width="15.42578125" style="81" hidden="1"/>
    <col min="12294" max="12542" width="9.140625" style="81" hidden="1"/>
    <col min="12543" max="12543" width="18.7109375" style="81" hidden="1"/>
    <col min="12544" max="12544" width="72" style="81" hidden="1"/>
    <col min="12545" max="12545" width="22.85546875" style="81" hidden="1"/>
    <col min="12546" max="12546" width="29.85546875" style="81" hidden="1"/>
    <col min="12547" max="12548" width="9.140625" style="81" hidden="1"/>
    <col min="12549" max="12549" width="15.42578125" style="81" hidden="1"/>
    <col min="12550" max="12798" width="9.140625" style="81" hidden="1"/>
    <col min="12799" max="12799" width="18.7109375" style="81" hidden="1"/>
    <col min="12800" max="12800" width="72" style="81" hidden="1"/>
    <col min="12801" max="12801" width="22.85546875" style="81" hidden="1"/>
    <col min="12802" max="12802" width="29.85546875" style="81" hidden="1"/>
    <col min="12803" max="12804" width="9.140625" style="81" hidden="1"/>
    <col min="12805" max="12805" width="15.42578125" style="81" hidden="1"/>
    <col min="12806" max="13054" width="9.140625" style="81" hidden="1"/>
    <col min="13055" max="13055" width="18.7109375" style="81" hidden="1"/>
    <col min="13056" max="13056" width="72" style="81" hidden="1"/>
    <col min="13057" max="13057" width="22.85546875" style="81" hidden="1"/>
    <col min="13058" max="13058" width="29.85546875" style="81" hidden="1"/>
    <col min="13059" max="13060" width="9.140625" style="81" hidden="1"/>
    <col min="13061" max="13061" width="15.42578125" style="81" hidden="1"/>
    <col min="13062" max="13310" width="9.140625" style="81" hidden="1"/>
    <col min="13311" max="13311" width="18.7109375" style="81" hidden="1"/>
    <col min="13312" max="13312" width="72" style="81" hidden="1"/>
    <col min="13313" max="13313" width="22.85546875" style="81" hidden="1"/>
    <col min="13314" max="13314" width="29.85546875" style="81" hidden="1"/>
    <col min="13315" max="13316" width="9.140625" style="81" hidden="1"/>
    <col min="13317" max="13317" width="15.42578125" style="81" hidden="1"/>
    <col min="13318" max="13566" width="9.140625" style="81" hidden="1"/>
    <col min="13567" max="13567" width="18.7109375" style="81" hidden="1"/>
    <col min="13568" max="13568" width="72" style="81" hidden="1"/>
    <col min="13569" max="13569" width="22.85546875" style="81" hidden="1"/>
    <col min="13570" max="13570" width="29.85546875" style="81" hidden="1"/>
    <col min="13571" max="13572" width="9.140625" style="81" hidden="1"/>
    <col min="13573" max="13573" width="15.42578125" style="81" hidden="1"/>
    <col min="13574" max="13822" width="9.140625" style="81" hidden="1"/>
    <col min="13823" max="13823" width="18.7109375" style="81" hidden="1"/>
    <col min="13824" max="13824" width="72" style="81" hidden="1"/>
    <col min="13825" max="13825" width="22.85546875" style="81" hidden="1"/>
    <col min="13826" max="13826" width="29.85546875" style="81" hidden="1"/>
    <col min="13827" max="13828" width="9.140625" style="81" hidden="1"/>
    <col min="13829" max="13829" width="15.42578125" style="81" hidden="1"/>
    <col min="13830" max="14078" width="9.140625" style="81" hidden="1"/>
    <col min="14079" max="14079" width="18.7109375" style="81" hidden="1"/>
    <col min="14080" max="14080" width="72" style="81" hidden="1"/>
    <col min="14081" max="14081" width="22.85546875" style="81" hidden="1"/>
    <col min="14082" max="14082" width="29.85546875" style="81" hidden="1"/>
    <col min="14083" max="14084" width="9.140625" style="81" hidden="1"/>
    <col min="14085" max="14085" width="15.42578125" style="81" hidden="1"/>
    <col min="14086" max="14334" width="9.140625" style="81" hidden="1"/>
    <col min="14335" max="14335" width="18.7109375" style="81" hidden="1"/>
    <col min="14336" max="14336" width="72" style="81" hidden="1"/>
    <col min="14337" max="14337" width="22.85546875" style="81" hidden="1"/>
    <col min="14338" max="14338" width="29.85546875" style="81" hidden="1"/>
    <col min="14339" max="14340" width="9.140625" style="81" hidden="1"/>
    <col min="14341" max="14341" width="15.42578125" style="81" hidden="1"/>
    <col min="14342" max="14590" width="9.140625" style="81" hidden="1"/>
    <col min="14591" max="14591" width="18.7109375" style="81" hidden="1"/>
    <col min="14592" max="14592" width="72" style="81" hidden="1"/>
    <col min="14593" max="14593" width="22.85546875" style="81" hidden="1"/>
    <col min="14594" max="14594" width="29.85546875" style="81" hidden="1"/>
    <col min="14595" max="14596" width="9.140625" style="81" hidden="1"/>
    <col min="14597" max="14597" width="15.42578125" style="81" hidden="1"/>
    <col min="14598" max="14846" width="9.140625" style="81" hidden="1"/>
    <col min="14847" max="14847" width="18.7109375" style="81" hidden="1"/>
    <col min="14848" max="14848" width="72" style="81" hidden="1"/>
    <col min="14849" max="14849" width="22.85546875" style="81" hidden="1"/>
    <col min="14850" max="14850" width="29.85546875" style="81" hidden="1"/>
    <col min="14851" max="14852" width="9.140625" style="81" hidden="1"/>
    <col min="14853" max="14853" width="15.42578125" style="81" hidden="1"/>
    <col min="14854" max="15102" width="9.140625" style="81" hidden="1"/>
    <col min="15103" max="15103" width="18.7109375" style="81" hidden="1"/>
    <col min="15104" max="15104" width="72" style="81" hidden="1"/>
    <col min="15105" max="15105" width="22.85546875" style="81" hidden="1"/>
    <col min="15106" max="15106" width="29.85546875" style="81" hidden="1"/>
    <col min="15107" max="15108" width="9.140625" style="81" hidden="1"/>
    <col min="15109" max="15109" width="15.42578125" style="81" hidden="1"/>
    <col min="15110" max="15358" width="9.140625" style="81" hidden="1"/>
    <col min="15359" max="15359" width="18.7109375" style="81" hidden="1"/>
    <col min="15360" max="15360" width="72" style="81" hidden="1"/>
    <col min="15361" max="15361" width="22.85546875" style="81" hidden="1"/>
    <col min="15362" max="15362" width="29.85546875" style="81" hidden="1"/>
    <col min="15363" max="15364" width="9.140625" style="81" hidden="1"/>
    <col min="15365" max="15365" width="15.42578125" style="81" hidden="1"/>
    <col min="15366" max="15614" width="9.140625" style="81" hidden="1"/>
    <col min="15615" max="15615" width="18.7109375" style="81" hidden="1"/>
    <col min="15616" max="15616" width="72" style="81" hidden="1"/>
    <col min="15617" max="15617" width="22.85546875" style="81" hidden="1"/>
    <col min="15618" max="15618" width="29.85546875" style="81" hidden="1"/>
    <col min="15619" max="15620" width="9.140625" style="81" hidden="1"/>
    <col min="15621" max="15621" width="15.42578125" style="81" hidden="1"/>
    <col min="15622" max="15870" width="9.140625" style="81" hidden="1"/>
    <col min="15871" max="15871" width="18.7109375" style="81" hidden="1"/>
    <col min="15872" max="15872" width="72" style="81" hidden="1"/>
    <col min="15873" max="15873" width="22.85546875" style="81" hidden="1"/>
    <col min="15874" max="15874" width="29.85546875" style="81" hidden="1"/>
    <col min="15875" max="15876" width="9.140625" style="81" hidden="1"/>
    <col min="15877" max="15877" width="15.42578125" style="81" hidden="1"/>
    <col min="15878" max="16126" width="9.140625" style="81" hidden="1"/>
    <col min="16127" max="16127" width="18.7109375" style="81" hidden="1"/>
    <col min="16128" max="16128" width="72" style="81" hidden="1"/>
    <col min="16129" max="16129" width="22.85546875" style="81" hidden="1"/>
    <col min="16130" max="16130" width="29.85546875" style="81" hidden="1"/>
    <col min="16131" max="16132" width="9.140625" style="81" hidden="1"/>
    <col min="16133" max="16135" width="15.42578125" style="81" hidden="1"/>
    <col min="16136" max="16384" width="9.140625" style="81" hidden="1"/>
  </cols>
  <sheetData>
    <row r="1" spans="1:7" x14ac:dyDescent="0.3">
      <c r="A1" s="251" t="s">
        <v>9</v>
      </c>
      <c r="B1" s="251"/>
      <c r="C1" s="251"/>
      <c r="D1" s="251"/>
      <c r="E1" s="20"/>
      <c r="F1" s="20"/>
      <c r="G1" s="20"/>
    </row>
    <row r="2" spans="1:7" x14ac:dyDescent="0.3">
      <c r="A2" s="252" t="s">
        <v>15</v>
      </c>
      <c r="B2" s="252"/>
      <c r="C2" s="253" t="s">
        <v>221</v>
      </c>
      <c r="D2" s="254"/>
      <c r="E2" s="20"/>
      <c r="F2" s="20"/>
      <c r="G2" s="20"/>
    </row>
    <row r="3" spans="1:7" x14ac:dyDescent="0.3">
      <c r="A3" s="252" t="s">
        <v>16</v>
      </c>
      <c r="B3" s="252"/>
      <c r="C3" s="253" t="s">
        <v>198</v>
      </c>
      <c r="D3" s="254"/>
      <c r="E3" s="20"/>
      <c r="F3" s="20"/>
      <c r="G3" s="20"/>
    </row>
    <row r="4" spans="1:7" x14ac:dyDescent="0.3">
      <c r="A4" s="250"/>
      <c r="B4" s="250"/>
      <c r="C4" s="250"/>
      <c r="D4" s="250"/>
      <c r="E4" s="20"/>
      <c r="F4" s="20"/>
      <c r="G4" s="20"/>
    </row>
    <row r="5" spans="1:7" x14ac:dyDescent="0.3">
      <c r="A5" s="250" t="s">
        <v>17</v>
      </c>
      <c r="B5" s="250"/>
      <c r="C5" s="250"/>
      <c r="D5" s="250"/>
      <c r="E5" s="20"/>
      <c r="F5" s="20"/>
      <c r="G5" s="20"/>
    </row>
    <row r="6" spans="1:7" x14ac:dyDescent="0.3">
      <c r="A6" s="154" t="s">
        <v>18</v>
      </c>
      <c r="B6" s="152" t="s">
        <v>8</v>
      </c>
      <c r="C6" s="257" t="s">
        <v>96</v>
      </c>
      <c r="D6" s="258"/>
      <c r="E6" s="20"/>
      <c r="F6" s="20"/>
      <c r="G6" s="20"/>
    </row>
    <row r="7" spans="1:7" x14ac:dyDescent="0.3">
      <c r="A7" s="154" t="s">
        <v>19</v>
      </c>
      <c r="B7" s="152" t="s">
        <v>7</v>
      </c>
      <c r="C7" s="259" t="s">
        <v>264</v>
      </c>
      <c r="D7" s="259"/>
      <c r="E7" s="20"/>
      <c r="F7" s="20"/>
      <c r="G7" s="20"/>
    </row>
    <row r="8" spans="1:7" x14ac:dyDescent="0.3">
      <c r="A8" s="22" t="s">
        <v>20</v>
      </c>
      <c r="B8" s="23" t="s">
        <v>21</v>
      </c>
      <c r="C8" s="260" t="s">
        <v>222</v>
      </c>
      <c r="D8" s="261"/>
      <c r="E8" s="20"/>
      <c r="F8" s="20"/>
      <c r="G8" s="20"/>
    </row>
    <row r="9" spans="1:7" x14ac:dyDescent="0.3">
      <c r="A9" s="154" t="s">
        <v>22</v>
      </c>
      <c r="B9" s="152" t="s">
        <v>23</v>
      </c>
      <c r="C9" s="255" t="s">
        <v>24</v>
      </c>
      <c r="D9" s="256"/>
      <c r="E9" s="20"/>
      <c r="F9" s="20"/>
      <c r="G9" s="20"/>
    </row>
    <row r="10" spans="1:7" x14ac:dyDescent="0.3">
      <c r="A10" s="154" t="s">
        <v>25</v>
      </c>
      <c r="B10" s="152" t="s">
        <v>26</v>
      </c>
      <c r="C10" s="255" t="s">
        <v>199</v>
      </c>
      <c r="D10" s="256"/>
      <c r="E10" s="20"/>
      <c r="F10" s="20"/>
      <c r="G10" s="20"/>
    </row>
    <row r="11" spans="1:7" x14ac:dyDescent="0.3">
      <c r="A11" s="154" t="s">
        <v>27</v>
      </c>
      <c r="B11" s="152" t="s">
        <v>28</v>
      </c>
      <c r="C11" s="262">
        <f>Proposta!F5</f>
        <v>1</v>
      </c>
      <c r="D11" s="263"/>
      <c r="E11" s="20"/>
      <c r="F11" s="20"/>
      <c r="G11" s="20"/>
    </row>
    <row r="12" spans="1:7" x14ac:dyDescent="0.3">
      <c r="A12" s="154" t="s">
        <v>29</v>
      </c>
      <c r="B12" s="152" t="s">
        <v>30</v>
      </c>
      <c r="C12" s="264">
        <f>Proposta!H5</f>
        <v>24</v>
      </c>
      <c r="D12" s="265"/>
      <c r="E12" s="20"/>
      <c r="F12" s="20"/>
      <c r="G12" s="20"/>
    </row>
    <row r="13" spans="1:7" x14ac:dyDescent="0.3">
      <c r="A13" s="266"/>
      <c r="B13" s="267"/>
      <c r="C13" s="267"/>
      <c r="D13" s="267"/>
      <c r="E13" s="20"/>
      <c r="F13" s="20"/>
      <c r="G13" s="20"/>
    </row>
    <row r="14" spans="1:7" x14ac:dyDescent="0.3">
      <c r="A14" s="268" t="s">
        <v>31</v>
      </c>
      <c r="B14" s="269"/>
      <c r="C14" s="269"/>
      <c r="D14" s="270"/>
      <c r="E14" s="20"/>
      <c r="F14" s="20"/>
      <c r="G14" s="20"/>
    </row>
    <row r="15" spans="1:7" x14ac:dyDescent="0.3">
      <c r="A15" s="259" t="s">
        <v>32</v>
      </c>
      <c r="B15" s="259"/>
      <c r="C15" s="259"/>
      <c r="D15" s="259"/>
      <c r="E15" s="20"/>
      <c r="F15" s="20"/>
      <c r="G15" s="20"/>
    </row>
    <row r="16" spans="1:7" x14ac:dyDescent="0.3">
      <c r="A16" s="154">
        <v>1</v>
      </c>
      <c r="B16" s="152" t="s">
        <v>33</v>
      </c>
      <c r="C16" s="255" t="s">
        <v>1</v>
      </c>
      <c r="D16" s="256" t="s">
        <v>1</v>
      </c>
      <c r="E16" s="20"/>
      <c r="F16" s="20"/>
      <c r="G16" s="20"/>
    </row>
    <row r="17" spans="1:7" x14ac:dyDescent="0.3">
      <c r="A17" s="154"/>
      <c r="B17" s="147" t="s">
        <v>244</v>
      </c>
      <c r="C17" s="272">
        <v>1</v>
      </c>
      <c r="D17" s="265">
        <v>1</v>
      </c>
      <c r="E17" s="20"/>
      <c r="F17" s="20"/>
      <c r="G17" s="20"/>
    </row>
    <row r="18" spans="1:7" x14ac:dyDescent="0.3">
      <c r="A18" s="154">
        <v>2</v>
      </c>
      <c r="B18" s="24" t="s">
        <v>34</v>
      </c>
      <c r="C18" s="273" t="s">
        <v>200</v>
      </c>
      <c r="D18" s="274"/>
      <c r="E18" s="20"/>
      <c r="F18" s="20"/>
      <c r="G18" s="20"/>
    </row>
    <row r="19" spans="1:7" x14ac:dyDescent="0.3">
      <c r="A19" s="259" t="s">
        <v>35</v>
      </c>
      <c r="B19" s="259"/>
      <c r="C19" s="259"/>
      <c r="D19" s="259"/>
      <c r="E19" s="20"/>
      <c r="F19" s="20"/>
      <c r="G19" s="20"/>
    </row>
    <row r="20" spans="1:7" x14ac:dyDescent="0.3">
      <c r="A20" s="154">
        <v>3</v>
      </c>
      <c r="B20" s="275" t="s">
        <v>6</v>
      </c>
      <c r="C20" s="276"/>
      <c r="D20" s="173">
        <v>1664.83</v>
      </c>
      <c r="E20" s="20"/>
      <c r="F20" s="20"/>
      <c r="G20" s="20"/>
    </row>
    <row r="21" spans="1:7" x14ac:dyDescent="0.3">
      <c r="A21" s="154">
        <v>4</v>
      </c>
      <c r="B21" s="275" t="s">
        <v>36</v>
      </c>
      <c r="C21" s="276"/>
      <c r="D21" s="174" t="s">
        <v>201</v>
      </c>
      <c r="E21" s="20"/>
      <c r="F21" s="20"/>
      <c r="G21" s="20"/>
    </row>
    <row r="22" spans="1:7" x14ac:dyDescent="0.3">
      <c r="A22" s="154">
        <v>5</v>
      </c>
      <c r="B22" s="275" t="s">
        <v>5</v>
      </c>
      <c r="C22" s="276"/>
      <c r="D22" s="175">
        <v>44228</v>
      </c>
      <c r="E22" s="20"/>
      <c r="F22" s="20"/>
      <c r="G22" s="20"/>
    </row>
    <row r="23" spans="1:7" x14ac:dyDescent="0.3">
      <c r="A23" s="255"/>
      <c r="B23" s="277"/>
      <c r="C23" s="277"/>
      <c r="D23" s="256"/>
      <c r="E23" s="20"/>
      <c r="F23" s="20"/>
      <c r="G23" s="20"/>
    </row>
    <row r="24" spans="1:7" x14ac:dyDescent="0.3">
      <c r="A24" s="278" t="s">
        <v>37</v>
      </c>
      <c r="B24" s="278"/>
      <c r="C24" s="278"/>
      <c r="D24" s="278"/>
      <c r="E24" s="20"/>
      <c r="F24" s="20"/>
      <c r="G24" s="20"/>
    </row>
    <row r="25" spans="1:7" hidden="1" outlineLevel="1" x14ac:dyDescent="0.3">
      <c r="A25" s="272"/>
      <c r="B25" s="279"/>
      <c r="C25" s="279"/>
      <c r="D25" s="265"/>
      <c r="E25" s="20"/>
      <c r="F25" s="20"/>
      <c r="G25" s="20"/>
    </row>
    <row r="26" spans="1:7" hidden="1" outlineLevel="1" x14ac:dyDescent="0.3">
      <c r="A26" s="153">
        <v>1</v>
      </c>
      <c r="B26" s="280" t="s">
        <v>38</v>
      </c>
      <c r="C26" s="281"/>
      <c r="D26" s="153" t="s">
        <v>39</v>
      </c>
      <c r="E26" s="20"/>
      <c r="F26" s="20"/>
      <c r="G26" s="20"/>
    </row>
    <row r="27" spans="1:7" hidden="1" outlineLevel="1" x14ac:dyDescent="0.3">
      <c r="A27" s="154" t="s">
        <v>40</v>
      </c>
      <c r="B27" s="152" t="s">
        <v>242</v>
      </c>
      <c r="C27" s="167">
        <v>220</v>
      </c>
      <c r="D27" s="25">
        <f>D20/220*C27</f>
        <v>1664.83</v>
      </c>
      <c r="E27" s="20"/>
      <c r="F27" s="20"/>
      <c r="G27" s="20"/>
    </row>
    <row r="28" spans="1:7" hidden="1" outlineLevel="1" x14ac:dyDescent="0.3">
      <c r="A28" s="154" t="s">
        <v>19</v>
      </c>
      <c r="B28" s="152" t="s">
        <v>223</v>
      </c>
      <c r="C28" s="26">
        <v>0.3</v>
      </c>
      <c r="D28" s="25">
        <f>C28*D27</f>
        <v>499.44899999999996</v>
      </c>
      <c r="E28" s="20"/>
      <c r="F28" s="20"/>
      <c r="G28" s="20"/>
    </row>
    <row r="29" spans="1:7" hidden="1" outlineLevel="1" x14ac:dyDescent="0.3">
      <c r="A29" s="154" t="s">
        <v>20</v>
      </c>
      <c r="B29" s="152" t="s">
        <v>41</v>
      </c>
      <c r="C29" s="26">
        <v>0</v>
      </c>
      <c r="D29" s="25">
        <f>C29*D27</f>
        <v>0</v>
      </c>
      <c r="E29" s="20"/>
      <c r="F29" s="20"/>
      <c r="G29" s="20"/>
    </row>
    <row r="30" spans="1:7" hidden="1" outlineLevel="1" x14ac:dyDescent="0.3">
      <c r="A30" s="154" t="s">
        <v>22</v>
      </c>
      <c r="B30" s="152" t="s">
        <v>243</v>
      </c>
      <c r="C30" s="27">
        <v>0</v>
      </c>
      <c r="D30" s="28">
        <f>C30</f>
        <v>0</v>
      </c>
      <c r="E30" s="20"/>
      <c r="F30" s="20"/>
      <c r="G30" s="20"/>
    </row>
    <row r="31" spans="1:7" hidden="1" outlineLevel="1" x14ac:dyDescent="0.3">
      <c r="A31" s="154" t="s">
        <v>25</v>
      </c>
      <c r="B31" s="152" t="s">
        <v>226</v>
      </c>
      <c r="C31" s="26">
        <v>0</v>
      </c>
      <c r="D31" s="28">
        <f>C31*D30</f>
        <v>0</v>
      </c>
      <c r="E31" s="20"/>
      <c r="F31" s="20"/>
      <c r="G31" s="20"/>
    </row>
    <row r="32" spans="1:7" hidden="1" outlineLevel="1" x14ac:dyDescent="0.3">
      <c r="A32" s="154" t="s">
        <v>27</v>
      </c>
      <c r="B32" s="152" t="s">
        <v>227</v>
      </c>
      <c r="C32" s="27">
        <v>0</v>
      </c>
      <c r="D32" s="28">
        <f>(D20/C27)*C32</f>
        <v>0</v>
      </c>
      <c r="E32" s="20"/>
      <c r="F32" s="20"/>
      <c r="G32" s="20"/>
    </row>
    <row r="33" spans="1:7" hidden="1" outlineLevel="1" x14ac:dyDescent="0.3">
      <c r="A33" s="154" t="s">
        <v>29</v>
      </c>
      <c r="B33" s="85" t="s">
        <v>42</v>
      </c>
      <c r="C33" s="86">
        <v>0</v>
      </c>
      <c r="D33" s="87">
        <v>0</v>
      </c>
      <c r="E33" s="20"/>
      <c r="F33" s="20"/>
      <c r="G33" s="20"/>
    </row>
    <row r="34" spans="1:7" collapsed="1" x14ac:dyDescent="0.3">
      <c r="A34" s="280" t="s">
        <v>43</v>
      </c>
      <c r="B34" s="282"/>
      <c r="C34" s="281"/>
      <c r="D34" s="29">
        <f>SUM(D27:D33)</f>
        <v>2164.279</v>
      </c>
      <c r="E34" s="20"/>
      <c r="F34" s="20"/>
      <c r="G34" s="20"/>
    </row>
    <row r="35" spans="1:7" x14ac:dyDescent="0.3">
      <c r="A35" s="271"/>
      <c r="B35" s="271"/>
      <c r="C35" s="271"/>
      <c r="D35" s="271"/>
      <c r="E35" s="20"/>
      <c r="F35" s="20"/>
      <c r="G35" s="20"/>
    </row>
    <row r="36" spans="1:7" x14ac:dyDescent="0.3">
      <c r="A36" s="286" t="s">
        <v>44</v>
      </c>
      <c r="B36" s="287"/>
      <c r="C36" s="287"/>
      <c r="D36" s="288"/>
      <c r="E36" s="20"/>
      <c r="F36" s="20"/>
      <c r="G36" s="20"/>
    </row>
    <row r="37" spans="1:7" hidden="1" outlineLevel="1" x14ac:dyDescent="0.3">
      <c r="A37" s="289"/>
      <c r="B37" s="290"/>
      <c r="C37" s="290"/>
      <c r="D37" s="291"/>
      <c r="E37" s="20"/>
      <c r="F37" s="20"/>
      <c r="G37" s="20"/>
    </row>
    <row r="38" spans="1:7" hidden="1" outlineLevel="1" x14ac:dyDescent="0.3">
      <c r="A38" s="30" t="s">
        <v>45</v>
      </c>
      <c r="B38" s="31" t="s">
        <v>46</v>
      </c>
      <c r="C38" s="30" t="s">
        <v>47</v>
      </c>
      <c r="D38" s="30" t="s">
        <v>39</v>
      </c>
      <c r="E38" s="20"/>
      <c r="F38" s="20"/>
      <c r="G38" s="20"/>
    </row>
    <row r="39" spans="1:7" hidden="1" outlineLevel="2" x14ac:dyDescent="0.3">
      <c r="A39" s="32" t="s">
        <v>40</v>
      </c>
      <c r="B39" s="33" t="s">
        <v>48</v>
      </c>
      <c r="C39" s="34">
        <f>1/12</f>
        <v>8.3333333333333329E-2</v>
      </c>
      <c r="D39" s="25">
        <f>C39*D34</f>
        <v>180.35658333333333</v>
      </c>
      <c r="E39" s="20"/>
      <c r="F39" s="20"/>
      <c r="G39" s="20"/>
    </row>
    <row r="40" spans="1:7" hidden="1" outlineLevel="2" x14ac:dyDescent="0.3">
      <c r="A40" s="32" t="s">
        <v>19</v>
      </c>
      <c r="B40" s="33" t="s">
        <v>197</v>
      </c>
      <c r="C40" s="34">
        <f>IF(C12&gt;60,(1/C12/3)*5,IF(C12&gt;48,(1/C12/3)*4,IF(C12&gt;36,(1/C12/3)*3,IF(C12&gt;24,(1/C12/3)*2,IF(C12&gt;12,(1/C12/3)*1,0)))))</f>
        <v>1.3888888888888888E-2</v>
      </c>
      <c r="D40" s="25">
        <f>C40*D34</f>
        <v>30.059430555555554</v>
      </c>
      <c r="E40" s="20"/>
      <c r="F40" s="20"/>
      <c r="G40" s="20"/>
    </row>
    <row r="41" spans="1:7" hidden="1" outlineLevel="2" x14ac:dyDescent="0.3">
      <c r="A41" s="35" t="s">
        <v>120</v>
      </c>
      <c r="B41" s="33" t="s">
        <v>121</v>
      </c>
      <c r="C41" s="162">
        <v>0</v>
      </c>
      <c r="D41" s="122">
        <f>-D40*(1/3)*(C41)</f>
        <v>0</v>
      </c>
      <c r="E41" s="20"/>
      <c r="F41" s="20"/>
      <c r="G41" s="20"/>
    </row>
    <row r="42" spans="1:7" hidden="1" outlineLevel="1" collapsed="1" x14ac:dyDescent="0.3">
      <c r="A42" s="292" t="s">
        <v>14</v>
      </c>
      <c r="B42" s="293"/>
      <c r="C42" s="36">
        <f>SUM(C39:C40)</f>
        <v>9.722222222222221E-2</v>
      </c>
      <c r="D42" s="37">
        <f>SUM(D39:D41)</f>
        <v>210.4160138888889</v>
      </c>
      <c r="E42" s="20"/>
      <c r="F42" s="20"/>
      <c r="G42" s="20"/>
    </row>
    <row r="43" spans="1:7" hidden="1" outlineLevel="1" x14ac:dyDescent="0.3">
      <c r="A43" s="289"/>
      <c r="B43" s="290"/>
      <c r="C43" s="290"/>
      <c r="D43" s="291"/>
      <c r="E43" s="20"/>
      <c r="F43" s="20"/>
      <c r="G43" s="20"/>
    </row>
    <row r="44" spans="1:7" hidden="1" outlineLevel="1" x14ac:dyDescent="0.3">
      <c r="A44" s="30" t="s">
        <v>49</v>
      </c>
      <c r="B44" s="38" t="s">
        <v>50</v>
      </c>
      <c r="C44" s="30" t="s">
        <v>47</v>
      </c>
      <c r="D44" s="39" t="s">
        <v>39</v>
      </c>
      <c r="E44" s="20"/>
      <c r="F44" s="20"/>
      <c r="G44" s="20"/>
    </row>
    <row r="45" spans="1:7" hidden="1" outlineLevel="2" x14ac:dyDescent="0.3">
      <c r="A45" s="151" t="s">
        <v>40</v>
      </c>
      <c r="B45" s="40" t="s">
        <v>51</v>
      </c>
      <c r="C45" s="41">
        <v>0.2</v>
      </c>
      <c r="D45" s="25">
        <f>C45*($D$34+$D$42)</f>
        <v>474.93900277777777</v>
      </c>
      <c r="E45" s="20"/>
      <c r="F45" s="20"/>
      <c r="G45" s="20"/>
    </row>
    <row r="46" spans="1:7" hidden="1" outlineLevel="2" x14ac:dyDescent="0.3">
      <c r="A46" s="151" t="s">
        <v>19</v>
      </c>
      <c r="B46" s="40" t="s">
        <v>52</v>
      </c>
      <c r="C46" s="41">
        <v>2.5000000000000001E-2</v>
      </c>
      <c r="D46" s="25">
        <f t="shared" ref="D46:D52" si="0">C46*($D$34+$D$42)</f>
        <v>59.367375347222222</v>
      </c>
      <c r="E46" s="20"/>
      <c r="F46" s="20"/>
      <c r="G46" s="20"/>
    </row>
    <row r="47" spans="1:7" hidden="1" outlineLevel="2" x14ac:dyDescent="0.3">
      <c r="A47" s="151" t="s">
        <v>20</v>
      </c>
      <c r="B47" s="40" t="s">
        <v>114</v>
      </c>
      <c r="C47" s="161">
        <v>0.03</v>
      </c>
      <c r="D47" s="25">
        <f t="shared" si="0"/>
        <v>71.24085041666666</v>
      </c>
      <c r="E47" s="20"/>
      <c r="F47" s="20"/>
      <c r="G47" s="20"/>
    </row>
    <row r="48" spans="1:7" hidden="1" outlineLevel="2" x14ac:dyDescent="0.3">
      <c r="A48" s="151" t="s">
        <v>22</v>
      </c>
      <c r="B48" s="40" t="s">
        <v>232</v>
      </c>
      <c r="C48" s="41">
        <v>1.4999999999999999E-2</v>
      </c>
      <c r="D48" s="25">
        <f t="shared" si="0"/>
        <v>35.62042520833333</v>
      </c>
      <c r="E48" s="20"/>
      <c r="F48" s="20"/>
      <c r="G48" s="20"/>
    </row>
    <row r="49" spans="1:7" hidden="1" outlineLevel="2" x14ac:dyDescent="0.3">
      <c r="A49" s="151" t="s">
        <v>25</v>
      </c>
      <c r="B49" s="40" t="s">
        <v>233</v>
      </c>
      <c r="C49" s="41">
        <v>0.01</v>
      </c>
      <c r="D49" s="25">
        <f>C49*($D$34+$D$42)</f>
        <v>23.746950138888888</v>
      </c>
      <c r="E49" s="20"/>
      <c r="F49" s="20"/>
      <c r="G49" s="20"/>
    </row>
    <row r="50" spans="1:7" hidden="1" outlineLevel="2" x14ac:dyDescent="0.3">
      <c r="A50" s="151" t="s">
        <v>27</v>
      </c>
      <c r="B50" s="40" t="s">
        <v>53</v>
      </c>
      <c r="C50" s="41">
        <v>6.0000000000000001E-3</v>
      </c>
      <c r="D50" s="25">
        <f>C50*($D$34+$D$42)</f>
        <v>14.248170083333333</v>
      </c>
      <c r="E50" s="20"/>
      <c r="F50" s="20"/>
      <c r="G50" s="20"/>
    </row>
    <row r="51" spans="1:7" hidden="1" outlineLevel="2" x14ac:dyDescent="0.3">
      <c r="A51" s="151" t="s">
        <v>29</v>
      </c>
      <c r="B51" s="40" t="s">
        <v>54</v>
      </c>
      <c r="C51" s="41">
        <v>2E-3</v>
      </c>
      <c r="D51" s="25">
        <f t="shared" si="0"/>
        <v>4.7493900277777774</v>
      </c>
      <c r="E51" s="20"/>
      <c r="F51" s="20"/>
      <c r="G51" s="20"/>
    </row>
    <row r="52" spans="1:7" hidden="1" outlineLevel="2" x14ac:dyDescent="0.3">
      <c r="A52" s="151" t="s">
        <v>55</v>
      </c>
      <c r="B52" s="40" t="s">
        <v>56</v>
      </c>
      <c r="C52" s="41">
        <v>0.08</v>
      </c>
      <c r="D52" s="25">
        <f t="shared" si="0"/>
        <v>189.9756011111111</v>
      </c>
      <c r="E52" s="20"/>
      <c r="F52" s="20"/>
      <c r="G52" s="20"/>
    </row>
    <row r="53" spans="1:7" hidden="1" outlineLevel="1" collapsed="1" x14ac:dyDescent="0.3">
      <c r="A53" s="292" t="s">
        <v>14</v>
      </c>
      <c r="B53" s="293"/>
      <c r="C53" s="42">
        <f>SUM(C45:C52)</f>
        <v>0.36800000000000005</v>
      </c>
      <c r="D53" s="43">
        <f>SUM(D45:D52)</f>
        <v>873.88776511111121</v>
      </c>
      <c r="E53" s="20"/>
      <c r="F53" s="20"/>
      <c r="G53" s="20"/>
    </row>
    <row r="54" spans="1:7" hidden="1" outlineLevel="1" x14ac:dyDescent="0.3">
      <c r="A54" s="289"/>
      <c r="B54" s="290"/>
      <c r="C54" s="290"/>
      <c r="D54" s="291"/>
      <c r="E54" s="20"/>
      <c r="F54" s="20"/>
      <c r="G54" s="20"/>
    </row>
    <row r="55" spans="1:7" hidden="1" outlineLevel="1" x14ac:dyDescent="0.3">
      <c r="A55" s="30" t="s">
        <v>57</v>
      </c>
      <c r="B55" s="38" t="s">
        <v>58</v>
      </c>
      <c r="C55" s="30" t="s">
        <v>59</v>
      </c>
      <c r="D55" s="30" t="s">
        <v>39</v>
      </c>
      <c r="E55" s="20"/>
      <c r="F55" s="20"/>
      <c r="G55" s="20"/>
    </row>
    <row r="56" spans="1:7" hidden="1" outlineLevel="2" x14ac:dyDescent="0.3">
      <c r="A56" s="151" t="s">
        <v>40</v>
      </c>
      <c r="B56" s="40" t="s">
        <v>60</v>
      </c>
      <c r="C56" s="44">
        <v>4.38</v>
      </c>
      <c r="D56" s="45">
        <f>(21*2*C56)-(D27*6%)</f>
        <v>84.070200000000014</v>
      </c>
      <c r="E56" s="82"/>
      <c r="F56" s="20"/>
      <c r="G56" s="20"/>
    </row>
    <row r="57" spans="1:7" hidden="1" outlineLevel="2" x14ac:dyDescent="0.3">
      <c r="A57" s="151" t="s">
        <v>19</v>
      </c>
      <c r="B57" s="40" t="s">
        <v>61</v>
      </c>
      <c r="C57" s="83">
        <v>27.6</v>
      </c>
      <c r="D57" s="45">
        <f>21*C57</f>
        <v>579.6</v>
      </c>
      <c r="E57" s="20"/>
      <c r="F57" s="20"/>
      <c r="G57" s="20"/>
    </row>
    <row r="58" spans="1:7" hidden="1" outlineLevel="2" x14ac:dyDescent="0.3">
      <c r="A58" s="73" t="s">
        <v>97</v>
      </c>
      <c r="B58" s="40" t="s">
        <v>98</v>
      </c>
      <c r="C58" s="84">
        <v>-0.2</v>
      </c>
      <c r="D58" s="122">
        <f>D57*C58</f>
        <v>-115.92000000000002</v>
      </c>
      <c r="E58" s="20"/>
      <c r="F58" s="20"/>
      <c r="G58" s="20"/>
    </row>
    <row r="59" spans="1:7" hidden="1" outlineLevel="2" x14ac:dyDescent="0.3">
      <c r="A59" s="151" t="s">
        <v>20</v>
      </c>
      <c r="B59" s="176" t="s">
        <v>229</v>
      </c>
      <c r="C59" s="169">
        <v>6.0000000000000001E-3</v>
      </c>
      <c r="D59" s="177">
        <f>C59*D27</f>
        <v>9.9889799999999997</v>
      </c>
      <c r="E59" s="20"/>
      <c r="F59" s="20"/>
      <c r="G59" s="20"/>
    </row>
    <row r="60" spans="1:7" hidden="1" outlineLevel="2" x14ac:dyDescent="0.3">
      <c r="A60" s="151" t="s">
        <v>22</v>
      </c>
      <c r="B60" s="178" t="s">
        <v>228</v>
      </c>
      <c r="C60" s="168">
        <v>14</v>
      </c>
      <c r="D60" s="177">
        <f>C60</f>
        <v>14</v>
      </c>
      <c r="E60" s="20"/>
      <c r="F60" s="20"/>
      <c r="G60" s="20"/>
    </row>
    <row r="61" spans="1:7" hidden="1" outlineLevel="2" x14ac:dyDescent="0.3">
      <c r="A61" s="151" t="s">
        <v>25</v>
      </c>
      <c r="B61" s="176" t="s">
        <v>167</v>
      </c>
      <c r="C61" s="169">
        <v>7.0000000000000007E-2</v>
      </c>
      <c r="D61" s="177">
        <f>C61*D34</f>
        <v>151.49953000000002</v>
      </c>
      <c r="E61" s="20"/>
      <c r="F61" s="20"/>
      <c r="G61" s="20"/>
    </row>
    <row r="62" spans="1:7" hidden="1" outlineLevel="2" x14ac:dyDescent="0.3">
      <c r="A62" s="151" t="s">
        <v>27</v>
      </c>
      <c r="B62" s="176" t="s">
        <v>42</v>
      </c>
      <c r="C62" s="84"/>
      <c r="D62" s="177"/>
      <c r="E62" s="20"/>
      <c r="F62" s="20"/>
      <c r="G62" s="20"/>
    </row>
    <row r="63" spans="1:7" hidden="1" outlineLevel="2" x14ac:dyDescent="0.3">
      <c r="A63" s="151" t="s">
        <v>29</v>
      </c>
      <c r="B63" s="176" t="s">
        <v>42</v>
      </c>
      <c r="C63" s="83"/>
      <c r="D63" s="179">
        <f>C63</f>
        <v>0</v>
      </c>
      <c r="E63" s="20"/>
      <c r="F63" s="20"/>
      <c r="G63" s="20"/>
    </row>
    <row r="64" spans="1:7" hidden="1" outlineLevel="1" collapsed="1" x14ac:dyDescent="0.3">
      <c r="A64" s="292" t="s">
        <v>62</v>
      </c>
      <c r="B64" s="294"/>
      <c r="C64" s="293"/>
      <c r="D64" s="37">
        <f>SUM(D56:D63)</f>
        <v>723.23870999999997</v>
      </c>
      <c r="E64" s="20"/>
      <c r="F64" s="20"/>
      <c r="G64" s="20"/>
    </row>
    <row r="65" spans="1:7" hidden="1" outlineLevel="1" x14ac:dyDescent="0.3">
      <c r="A65" s="289"/>
      <c r="B65" s="290"/>
      <c r="C65" s="290"/>
      <c r="D65" s="291"/>
      <c r="E65" s="20"/>
      <c r="F65" s="20"/>
      <c r="G65" s="20"/>
    </row>
    <row r="66" spans="1:7" hidden="1" outlineLevel="1" x14ac:dyDescent="0.3">
      <c r="A66" s="295" t="s">
        <v>63</v>
      </c>
      <c r="B66" s="296"/>
      <c r="C66" s="30" t="s">
        <v>47</v>
      </c>
      <c r="D66" s="30" t="s">
        <v>39</v>
      </c>
      <c r="E66" s="20"/>
      <c r="F66" s="20"/>
      <c r="G66" s="20"/>
    </row>
    <row r="67" spans="1:7" hidden="1" outlineLevel="1" x14ac:dyDescent="0.3">
      <c r="A67" s="151" t="s">
        <v>64</v>
      </c>
      <c r="B67" s="40" t="s">
        <v>46</v>
      </c>
      <c r="C67" s="46">
        <f>C42</f>
        <v>9.722222222222221E-2</v>
      </c>
      <c r="D67" s="25">
        <f>D42</f>
        <v>210.4160138888889</v>
      </c>
      <c r="E67" s="20"/>
      <c r="F67" s="20"/>
      <c r="G67" s="20"/>
    </row>
    <row r="68" spans="1:7" hidden="1" outlineLevel="1" x14ac:dyDescent="0.3">
      <c r="A68" s="151" t="s">
        <v>49</v>
      </c>
      <c r="B68" s="40" t="s">
        <v>50</v>
      </c>
      <c r="C68" s="46">
        <f>C53</f>
        <v>0.36800000000000005</v>
      </c>
      <c r="D68" s="25">
        <f>D53</f>
        <v>873.88776511111121</v>
      </c>
      <c r="E68" s="20"/>
      <c r="F68" s="20"/>
      <c r="G68" s="20"/>
    </row>
    <row r="69" spans="1:7" hidden="1" outlineLevel="1" x14ac:dyDescent="0.3">
      <c r="A69" s="151" t="s">
        <v>65</v>
      </c>
      <c r="B69" s="40" t="s">
        <v>58</v>
      </c>
      <c r="C69" s="46">
        <f>D64/D34</f>
        <v>0.33417073769139743</v>
      </c>
      <c r="D69" s="25">
        <f>D64</f>
        <v>723.23870999999997</v>
      </c>
      <c r="E69" s="20"/>
      <c r="F69" s="20"/>
      <c r="G69" s="20"/>
    </row>
    <row r="70" spans="1:7" collapsed="1" x14ac:dyDescent="0.3">
      <c r="A70" s="292" t="s">
        <v>14</v>
      </c>
      <c r="B70" s="294"/>
      <c r="C70" s="293"/>
      <c r="D70" s="37">
        <f>SUM(D67:D69)</f>
        <v>1807.5424889999999</v>
      </c>
      <c r="E70" s="20"/>
      <c r="F70" s="20"/>
      <c r="G70" s="20"/>
    </row>
    <row r="71" spans="1:7" x14ac:dyDescent="0.3">
      <c r="A71" s="289"/>
      <c r="B71" s="290"/>
      <c r="C71" s="290"/>
      <c r="D71" s="291"/>
      <c r="E71" s="20"/>
      <c r="F71" s="20"/>
      <c r="G71" s="20"/>
    </row>
    <row r="72" spans="1:7" x14ac:dyDescent="0.3">
      <c r="A72" s="283" t="s">
        <v>126</v>
      </c>
      <c r="B72" s="284"/>
      <c r="C72" s="284"/>
      <c r="D72" s="285"/>
      <c r="E72" s="20"/>
      <c r="F72" s="20"/>
      <c r="G72" s="20"/>
    </row>
    <row r="73" spans="1:7" hidden="1" outlineLevel="1" x14ac:dyDescent="0.3">
      <c r="A73" s="289"/>
      <c r="B73" s="290"/>
      <c r="C73" s="290"/>
      <c r="D73" s="291"/>
      <c r="E73" s="20"/>
      <c r="F73" s="20"/>
      <c r="G73" s="20"/>
    </row>
    <row r="74" spans="1:7" hidden="1" outlineLevel="1" x14ac:dyDescent="0.3">
      <c r="A74" s="153" t="s">
        <v>129</v>
      </c>
      <c r="B74" s="31" t="s">
        <v>130</v>
      </c>
      <c r="C74" s="30" t="s">
        <v>47</v>
      </c>
      <c r="D74" s="30" t="s">
        <v>39</v>
      </c>
      <c r="E74" s="20"/>
      <c r="F74" s="20"/>
      <c r="G74" s="20"/>
    </row>
    <row r="75" spans="1:7" hidden="1" outlineLevel="2" x14ac:dyDescent="0.3">
      <c r="A75" s="47" t="s">
        <v>40</v>
      </c>
      <c r="B75" s="48" t="s">
        <v>131</v>
      </c>
      <c r="C75" s="47" t="s">
        <v>132</v>
      </c>
      <c r="D75" s="49">
        <f>IF(C86&gt;1,SUM(D76:D79)*2,SUM(D76:D79))</f>
        <v>3049.9500618888887</v>
      </c>
      <c r="E75" s="20"/>
      <c r="F75" s="20"/>
      <c r="G75" s="20"/>
    </row>
    <row r="76" spans="1:7" hidden="1" outlineLevel="3" x14ac:dyDescent="0.3">
      <c r="A76" s="50" t="s">
        <v>128</v>
      </c>
      <c r="B76" s="51" t="s">
        <v>133</v>
      </c>
      <c r="C76" s="47">
        <f>(IF(C12&gt;60,45,IF(C12&gt;48,42,IF(C12&gt;36,39,IF(C12&gt;24,36,IF(C12&gt;12,33,30)))))/30)</f>
        <v>1.1000000000000001</v>
      </c>
      <c r="D76" s="49">
        <f>D34*C76</f>
        <v>2380.7069000000001</v>
      </c>
      <c r="E76" s="20"/>
      <c r="F76" s="20"/>
      <c r="G76" s="20"/>
    </row>
    <row r="77" spans="1:7" hidden="1" outlineLevel="3" x14ac:dyDescent="0.3">
      <c r="A77" s="50" t="s">
        <v>142</v>
      </c>
      <c r="B77" s="51" t="s">
        <v>134</v>
      </c>
      <c r="C77" s="34">
        <f>1/12</f>
        <v>8.3333333333333329E-2</v>
      </c>
      <c r="D77" s="49">
        <f>C77*D76</f>
        <v>198.39224166666668</v>
      </c>
      <c r="E77" s="20"/>
      <c r="F77" s="20"/>
      <c r="G77" s="20"/>
    </row>
    <row r="78" spans="1:7" hidden="1" outlineLevel="3" x14ac:dyDescent="0.3">
      <c r="A78" s="50" t="s">
        <v>143</v>
      </c>
      <c r="B78" s="51" t="s">
        <v>135</v>
      </c>
      <c r="C78" s="34">
        <f>(1/12)+(1/12/3)</f>
        <v>0.1111111111111111</v>
      </c>
      <c r="D78" s="52">
        <f>C78*D76</f>
        <v>264.5229888888889</v>
      </c>
      <c r="E78" s="20"/>
      <c r="F78" s="20"/>
      <c r="G78" s="20"/>
    </row>
    <row r="79" spans="1:7" hidden="1" outlineLevel="3" x14ac:dyDescent="0.3">
      <c r="A79" s="50" t="s">
        <v>144</v>
      </c>
      <c r="B79" s="51" t="s">
        <v>136</v>
      </c>
      <c r="C79" s="53">
        <v>0.08</v>
      </c>
      <c r="D79" s="49">
        <f>SUM(D76:D77)*C79</f>
        <v>206.32793133333334</v>
      </c>
      <c r="E79" s="20"/>
      <c r="F79" s="20"/>
      <c r="G79" s="20"/>
    </row>
    <row r="80" spans="1:7" hidden="1" outlineLevel="2" collapsed="1" x14ac:dyDescent="0.3">
      <c r="A80" s="47" t="s">
        <v>19</v>
      </c>
      <c r="B80" s="48" t="s">
        <v>137</v>
      </c>
      <c r="C80" s="54">
        <v>0.4</v>
      </c>
      <c r="D80" s="49">
        <f>C80*D81</f>
        <v>1823.7657706666666</v>
      </c>
      <c r="E80" s="20"/>
      <c r="F80" s="20"/>
      <c r="G80" s="20"/>
    </row>
    <row r="81" spans="1:7" hidden="1" outlineLevel="3" x14ac:dyDescent="0.3">
      <c r="A81" s="47" t="s">
        <v>120</v>
      </c>
      <c r="B81" s="48" t="s">
        <v>138</v>
      </c>
      <c r="C81" s="54">
        <f>C52</f>
        <v>0.08</v>
      </c>
      <c r="D81" s="49">
        <f>C81*D82</f>
        <v>4559.4144266666663</v>
      </c>
      <c r="E81" s="20"/>
      <c r="F81" s="20"/>
      <c r="G81" s="20"/>
    </row>
    <row r="82" spans="1:7" hidden="1" outlineLevel="3" x14ac:dyDescent="0.3">
      <c r="A82" s="47" t="s">
        <v>145</v>
      </c>
      <c r="B82" s="55" t="s">
        <v>102</v>
      </c>
      <c r="C82" s="56" t="s">
        <v>132</v>
      </c>
      <c r="D82" s="52">
        <f>SUM(D83:D85)</f>
        <v>56992.680333333323</v>
      </c>
      <c r="E82" s="20"/>
      <c r="F82" s="20"/>
      <c r="G82" s="20"/>
    </row>
    <row r="83" spans="1:7" hidden="1" outlineLevel="3" x14ac:dyDescent="0.3">
      <c r="A83" s="50" t="s">
        <v>146</v>
      </c>
      <c r="B83" s="51" t="s">
        <v>139</v>
      </c>
      <c r="C83" s="57">
        <f>C12-C85</f>
        <v>23</v>
      </c>
      <c r="D83" s="49">
        <f>D34*C83</f>
        <v>49778.417000000001</v>
      </c>
      <c r="E83" s="20"/>
      <c r="F83" s="20"/>
      <c r="G83" s="20"/>
    </row>
    <row r="84" spans="1:7" hidden="1" outlineLevel="3" x14ac:dyDescent="0.3">
      <c r="A84" s="50" t="s">
        <v>147</v>
      </c>
      <c r="B84" s="51" t="s">
        <v>140</v>
      </c>
      <c r="C84" s="58">
        <f>C12/12</f>
        <v>2</v>
      </c>
      <c r="D84" s="49">
        <f>D34*C84</f>
        <v>4328.558</v>
      </c>
      <c r="E84" s="20"/>
      <c r="F84" s="20"/>
      <c r="G84" s="20"/>
    </row>
    <row r="85" spans="1:7" hidden="1" outlineLevel="3" x14ac:dyDescent="0.3">
      <c r="A85" s="50" t="s">
        <v>148</v>
      </c>
      <c r="B85" s="51" t="s">
        <v>141</v>
      </c>
      <c r="C85" s="56">
        <f>IF(C12&gt;60,5,IF(C12&gt;48,4,IF(C12&gt;36,3,IF(C12&gt;24,2,IF(C12&gt;12,1,0)))))</f>
        <v>1</v>
      </c>
      <c r="D85" s="52">
        <f>D34*C85*1.33333333333333</f>
        <v>2885.7053333333261</v>
      </c>
      <c r="E85" s="20"/>
      <c r="F85" s="20"/>
      <c r="G85" s="20"/>
    </row>
    <row r="86" spans="1:7" hidden="1" outlineLevel="1" collapsed="1" x14ac:dyDescent="0.3">
      <c r="A86" s="292" t="s">
        <v>14</v>
      </c>
      <c r="B86" s="293"/>
      <c r="C86" s="163">
        <v>0.1</v>
      </c>
      <c r="D86" s="37">
        <f>IF(C86&gt;1,D75+D80,(D75+D80)*C86)</f>
        <v>487.37158325555561</v>
      </c>
      <c r="E86" s="20"/>
      <c r="F86" s="20"/>
      <c r="G86" s="20"/>
    </row>
    <row r="87" spans="1:7" hidden="1" outlineLevel="1" x14ac:dyDescent="0.3">
      <c r="A87" s="297"/>
      <c r="B87" s="298"/>
      <c r="C87" s="298"/>
      <c r="D87" s="299"/>
      <c r="E87" s="20"/>
      <c r="F87" s="20"/>
      <c r="G87" s="20"/>
    </row>
    <row r="88" spans="1:7" hidden="1" outlineLevel="1" x14ac:dyDescent="0.3">
      <c r="A88" s="153" t="s">
        <v>155</v>
      </c>
      <c r="B88" s="31" t="s">
        <v>154</v>
      </c>
      <c r="C88" s="30" t="s">
        <v>47</v>
      </c>
      <c r="D88" s="30" t="s">
        <v>39</v>
      </c>
      <c r="E88" s="20"/>
      <c r="F88" s="20"/>
      <c r="G88" s="20"/>
    </row>
    <row r="89" spans="1:7" hidden="1" outlineLevel="2" x14ac:dyDescent="0.3">
      <c r="A89" s="47" t="s">
        <v>40</v>
      </c>
      <c r="B89" s="55" t="s">
        <v>149</v>
      </c>
      <c r="C89" s="59">
        <f>IF(C98&gt;1,(1/30*7)*2,(1/30*7))</f>
        <v>0.23333333333333334</v>
      </c>
      <c r="D89" s="52">
        <f>C89*SUM(D90:D94)</f>
        <v>973.27431423703695</v>
      </c>
      <c r="E89" s="20"/>
      <c r="F89" s="20"/>
      <c r="G89" s="20"/>
    </row>
    <row r="90" spans="1:7" hidden="1" outlineLevel="3" x14ac:dyDescent="0.3">
      <c r="A90" s="50" t="s">
        <v>128</v>
      </c>
      <c r="B90" s="51" t="s">
        <v>150</v>
      </c>
      <c r="C90" s="47">
        <v>1</v>
      </c>
      <c r="D90" s="49">
        <f>D34</f>
        <v>2164.279</v>
      </c>
      <c r="E90" s="20"/>
      <c r="F90" s="20"/>
      <c r="G90" s="20"/>
    </row>
    <row r="91" spans="1:7" hidden="1" outlineLevel="3" x14ac:dyDescent="0.3">
      <c r="A91" s="50" t="s">
        <v>142</v>
      </c>
      <c r="B91" s="51" t="s">
        <v>151</v>
      </c>
      <c r="C91" s="34">
        <f>1/12</f>
        <v>8.3333333333333329E-2</v>
      </c>
      <c r="D91" s="49">
        <f>C91*D90</f>
        <v>180.35658333333333</v>
      </c>
      <c r="E91" s="20"/>
      <c r="F91" s="20"/>
      <c r="G91" s="20"/>
    </row>
    <row r="92" spans="1:7" hidden="1" outlineLevel="3" x14ac:dyDescent="0.3">
      <c r="A92" s="50" t="s">
        <v>143</v>
      </c>
      <c r="B92" s="51" t="s">
        <v>152</v>
      </c>
      <c r="C92" s="34">
        <f>(1/12)+(1/12/3)</f>
        <v>0.1111111111111111</v>
      </c>
      <c r="D92" s="49">
        <f>C92*D90</f>
        <v>240.47544444444443</v>
      </c>
      <c r="E92" s="20"/>
      <c r="F92" s="20"/>
      <c r="G92" s="20"/>
    </row>
    <row r="93" spans="1:7" hidden="1" outlineLevel="3" x14ac:dyDescent="0.3">
      <c r="A93" s="50" t="s">
        <v>144</v>
      </c>
      <c r="B93" s="60" t="s">
        <v>66</v>
      </c>
      <c r="C93" s="61">
        <f>C53</f>
        <v>0.36800000000000005</v>
      </c>
      <c r="D93" s="52">
        <f>C93*(D90+D91)</f>
        <v>862.82589466666673</v>
      </c>
      <c r="E93" s="20"/>
      <c r="F93" s="20"/>
      <c r="G93" s="20"/>
    </row>
    <row r="94" spans="1:7" hidden="1" outlineLevel="3" x14ac:dyDescent="0.3">
      <c r="A94" s="50" t="s">
        <v>156</v>
      </c>
      <c r="B94" s="60" t="s">
        <v>153</v>
      </c>
      <c r="C94" s="62">
        <v>1</v>
      </c>
      <c r="D94" s="52">
        <f>D64</f>
        <v>723.23870999999997</v>
      </c>
      <c r="E94" s="20"/>
      <c r="F94" s="20"/>
      <c r="G94" s="20"/>
    </row>
    <row r="95" spans="1:7" hidden="1" outlineLevel="2" collapsed="1" x14ac:dyDescent="0.3">
      <c r="A95" s="47" t="s">
        <v>19</v>
      </c>
      <c r="B95" s="48" t="s">
        <v>270</v>
      </c>
      <c r="C95" s="54">
        <v>0.4</v>
      </c>
      <c r="D95" s="49">
        <f>C95*D96</f>
        <v>1823.7657706666666</v>
      </c>
      <c r="E95" s="63"/>
      <c r="F95" s="20"/>
      <c r="G95" s="20"/>
    </row>
    <row r="96" spans="1:7" hidden="1" outlineLevel="3" x14ac:dyDescent="0.3">
      <c r="A96" s="47" t="s">
        <v>120</v>
      </c>
      <c r="B96" s="48" t="s">
        <v>138</v>
      </c>
      <c r="C96" s="54">
        <f>C52</f>
        <v>0.08</v>
      </c>
      <c r="D96" s="49">
        <f>C96*D97</f>
        <v>4559.4144266666663</v>
      </c>
      <c r="E96" s="20"/>
      <c r="F96" s="20"/>
      <c r="G96" s="20"/>
    </row>
    <row r="97" spans="1:7" hidden="1" outlineLevel="3" x14ac:dyDescent="0.3">
      <c r="A97" s="47" t="s">
        <v>145</v>
      </c>
      <c r="B97" s="55" t="s">
        <v>102</v>
      </c>
      <c r="C97" s="56" t="s">
        <v>132</v>
      </c>
      <c r="D97" s="52">
        <f>D82</f>
        <v>56992.680333333323</v>
      </c>
      <c r="E97" s="20"/>
      <c r="F97" s="20"/>
      <c r="G97" s="20"/>
    </row>
    <row r="98" spans="1:7" hidden="1" outlineLevel="1" collapsed="1" x14ac:dyDescent="0.3">
      <c r="A98" s="292" t="s">
        <v>14</v>
      </c>
      <c r="B98" s="293"/>
      <c r="C98" s="163">
        <v>0.9</v>
      </c>
      <c r="D98" s="37">
        <f>IF(C98&gt;1,D89+D95,(D89+D95)*C98)</f>
        <v>2517.3360764133336</v>
      </c>
      <c r="E98" s="20"/>
      <c r="F98" s="20"/>
      <c r="G98" s="20"/>
    </row>
    <row r="99" spans="1:7" hidden="1" outlineLevel="1" x14ac:dyDescent="0.3">
      <c r="A99" s="297"/>
      <c r="B99" s="298"/>
      <c r="C99" s="298"/>
      <c r="D99" s="299"/>
      <c r="E99" s="20"/>
      <c r="F99" s="20"/>
      <c r="G99" s="20"/>
    </row>
    <row r="100" spans="1:7" hidden="1" outlineLevel="1" x14ac:dyDescent="0.3">
      <c r="A100" s="153" t="s">
        <v>160</v>
      </c>
      <c r="B100" s="31" t="s">
        <v>165</v>
      </c>
      <c r="C100" s="30" t="s">
        <v>47</v>
      </c>
      <c r="D100" s="30" t="s">
        <v>39</v>
      </c>
      <c r="E100" s="20"/>
      <c r="F100" s="20"/>
      <c r="G100" s="20"/>
    </row>
    <row r="101" spans="1:7" hidden="1" outlineLevel="2" x14ac:dyDescent="0.3">
      <c r="A101" s="151" t="s">
        <v>40</v>
      </c>
      <c r="B101" s="40" t="s">
        <v>162</v>
      </c>
      <c r="C101" s="46">
        <f>IF(C12&gt;60,(D34/12*(C12-60))/C12/D34,IF(C12&gt;48,(D34/12*(C12-48))/C12/D34,IF(C12&gt;36,(D34/12*(C12-36))/C12/D34,IF(C12&gt;24,(D34/12*(C12-24))/C12/D34,IF(C12&gt;12,((D34/12*(C12-12))/C12/D34),1/12)))))</f>
        <v>4.1666666666666664E-2</v>
      </c>
      <c r="D101" s="64">
        <f>C101*D34</f>
        <v>90.178291666666667</v>
      </c>
      <c r="E101" s="20"/>
      <c r="F101" s="20"/>
      <c r="G101" s="20"/>
    </row>
    <row r="102" spans="1:7" hidden="1" outlineLevel="2" x14ac:dyDescent="0.3">
      <c r="A102" s="151" t="s">
        <v>19</v>
      </c>
      <c r="B102" s="65" t="s">
        <v>163</v>
      </c>
      <c r="C102" s="46">
        <f>C101/3</f>
        <v>1.3888888888888888E-2</v>
      </c>
      <c r="D102" s="66">
        <f>C102*D34</f>
        <v>30.059430555555554</v>
      </c>
      <c r="E102" s="20"/>
      <c r="F102" s="20"/>
      <c r="G102" s="20"/>
    </row>
    <row r="103" spans="1:7" hidden="1" outlineLevel="2" x14ac:dyDescent="0.3">
      <c r="A103" s="151" t="s">
        <v>20</v>
      </c>
      <c r="B103" s="67" t="s">
        <v>166</v>
      </c>
      <c r="C103" s="71">
        <f>C41</f>
        <v>0</v>
      </c>
      <c r="D103" s="25">
        <f>-D41*4</f>
        <v>0</v>
      </c>
      <c r="E103" s="20"/>
      <c r="F103" s="20"/>
      <c r="G103" s="20"/>
    </row>
    <row r="104" spans="1:7" ht="15.75" hidden="1" customHeight="1" outlineLevel="1" collapsed="1" x14ac:dyDescent="0.3">
      <c r="A104" s="292" t="s">
        <v>14</v>
      </c>
      <c r="B104" s="293"/>
      <c r="C104" s="36">
        <f>C101+C102+(D103/D34)</f>
        <v>5.5555555555555552E-2</v>
      </c>
      <c r="D104" s="37">
        <f>SUM(D101:D103)</f>
        <v>120.23772222222222</v>
      </c>
      <c r="E104" s="20"/>
      <c r="F104" s="20"/>
      <c r="G104" s="20"/>
    </row>
    <row r="105" spans="1:7" hidden="1" outlineLevel="1" x14ac:dyDescent="0.3">
      <c r="A105" s="297"/>
      <c r="B105" s="298"/>
      <c r="C105" s="298"/>
      <c r="D105" s="299"/>
      <c r="E105" s="63"/>
      <c r="F105" s="20"/>
      <c r="G105" s="20"/>
    </row>
    <row r="106" spans="1:7" hidden="1" outlineLevel="1" x14ac:dyDescent="0.3">
      <c r="A106" s="295" t="s">
        <v>161</v>
      </c>
      <c r="B106" s="296"/>
      <c r="C106" s="30" t="s">
        <v>47</v>
      </c>
      <c r="D106" s="30" t="s">
        <v>39</v>
      </c>
      <c r="E106" s="63"/>
      <c r="F106" s="20"/>
      <c r="G106" s="20"/>
    </row>
    <row r="107" spans="1:7" hidden="1" outlineLevel="1" x14ac:dyDescent="0.3">
      <c r="A107" s="151" t="s">
        <v>129</v>
      </c>
      <c r="B107" s="40" t="s">
        <v>130</v>
      </c>
      <c r="C107" s="46">
        <f>C86</f>
        <v>0.1</v>
      </c>
      <c r="D107" s="25">
        <f>D86</f>
        <v>487.37158325555561</v>
      </c>
      <c r="E107" s="63"/>
      <c r="F107" s="20"/>
      <c r="G107" s="20"/>
    </row>
    <row r="108" spans="1:7" hidden="1" outlineLevel="1" x14ac:dyDescent="0.3">
      <c r="A108" s="32" t="s">
        <v>155</v>
      </c>
      <c r="B108" s="40" t="s">
        <v>154</v>
      </c>
      <c r="C108" s="68">
        <f>C98</f>
        <v>0.9</v>
      </c>
      <c r="D108" s="25">
        <f>D98</f>
        <v>2517.3360764133336</v>
      </c>
      <c r="E108" s="63"/>
      <c r="F108" s="20"/>
      <c r="G108" s="20"/>
    </row>
    <row r="109" spans="1:7" hidden="1" outlineLevel="1" x14ac:dyDescent="0.3">
      <c r="A109" s="300" t="s">
        <v>164</v>
      </c>
      <c r="B109" s="300"/>
      <c r="C109" s="300"/>
      <c r="D109" s="69">
        <f>D107+D108</f>
        <v>3004.7076596688894</v>
      </c>
      <c r="E109" s="63"/>
      <c r="F109" s="20"/>
      <c r="G109" s="20"/>
    </row>
    <row r="110" spans="1:7" hidden="1" outlineLevel="1" x14ac:dyDescent="0.3">
      <c r="A110" s="301" t="s">
        <v>195</v>
      </c>
      <c r="B110" s="302"/>
      <c r="C110" s="164">
        <v>0.71030000000000004</v>
      </c>
      <c r="D110" s="123">
        <f>C110*D109</f>
        <v>2134.2438506628123</v>
      </c>
      <c r="E110" s="63"/>
      <c r="F110" s="20"/>
      <c r="G110" s="20"/>
    </row>
    <row r="111" spans="1:7" hidden="1" outlineLevel="1" x14ac:dyDescent="0.3">
      <c r="A111" s="303" t="s">
        <v>194</v>
      </c>
      <c r="B111" s="304"/>
      <c r="C111" s="172">
        <f>1/C12</f>
        <v>4.1666666666666664E-2</v>
      </c>
      <c r="D111" s="132">
        <f>D110*C111</f>
        <v>88.926827110950512</v>
      </c>
      <c r="E111" s="63"/>
      <c r="F111" s="20"/>
      <c r="G111" s="20"/>
    </row>
    <row r="112" spans="1:7" hidden="1" outlineLevel="1" x14ac:dyDescent="0.3">
      <c r="A112" s="32" t="s">
        <v>160</v>
      </c>
      <c r="B112" s="40" t="s">
        <v>159</v>
      </c>
      <c r="C112" s="68"/>
      <c r="D112" s="122">
        <f>D104</f>
        <v>120.23772222222222</v>
      </c>
      <c r="E112" s="63"/>
      <c r="F112" s="20"/>
      <c r="G112" s="20"/>
    </row>
    <row r="113" spans="1:7" collapsed="1" x14ac:dyDescent="0.3">
      <c r="A113" s="292" t="s">
        <v>67</v>
      </c>
      <c r="B113" s="293"/>
      <c r="C113" s="36"/>
      <c r="D113" s="70">
        <f>D111+D112</f>
        <v>209.16454933317272</v>
      </c>
      <c r="E113" s="20"/>
      <c r="F113" s="20"/>
      <c r="G113" s="20"/>
    </row>
    <row r="114" spans="1:7" x14ac:dyDescent="0.3">
      <c r="A114" s="289"/>
      <c r="B114" s="290"/>
      <c r="C114" s="290"/>
      <c r="D114" s="291"/>
      <c r="E114" s="20"/>
      <c r="F114" s="20"/>
      <c r="G114" s="20"/>
    </row>
    <row r="115" spans="1:7" x14ac:dyDescent="0.3">
      <c r="A115" s="286" t="s">
        <v>68</v>
      </c>
      <c r="B115" s="287"/>
      <c r="C115" s="287"/>
      <c r="D115" s="288"/>
      <c r="E115" s="20"/>
      <c r="F115" s="20"/>
      <c r="G115" s="20"/>
    </row>
    <row r="116" spans="1:7" hidden="1" outlineLevel="1" x14ac:dyDescent="0.3">
      <c r="A116" s="297"/>
      <c r="B116" s="298"/>
      <c r="C116" s="298"/>
      <c r="D116" s="299"/>
      <c r="E116" s="20"/>
      <c r="F116" s="20"/>
      <c r="G116" s="20"/>
    </row>
    <row r="117" spans="1:7" hidden="1" outlineLevel="1" x14ac:dyDescent="0.3">
      <c r="A117" s="30" t="s">
        <v>69</v>
      </c>
      <c r="B117" s="38" t="s">
        <v>124</v>
      </c>
      <c r="C117" s="36" t="s">
        <v>47</v>
      </c>
      <c r="D117" s="30" t="s">
        <v>39</v>
      </c>
      <c r="E117" s="20"/>
      <c r="F117" s="20"/>
      <c r="G117" s="20"/>
    </row>
    <row r="118" spans="1:7" hidden="1" outlineLevel="2" x14ac:dyDescent="0.3">
      <c r="A118" s="151" t="s">
        <v>40</v>
      </c>
      <c r="B118" s="40" t="s">
        <v>70</v>
      </c>
      <c r="C118" s="71">
        <f>IF(C12&gt;60,5/C12,IF(C12&gt;48,4/C12,IF(C12&gt;36,3/C12,IF(C12&gt;24,2/C12,IF(C12&gt;12,1/C12,0)))))</f>
        <v>4.1666666666666664E-2</v>
      </c>
      <c r="D118" s="64">
        <f>C118*(D34+D70+D113)</f>
        <v>174.20775159721552</v>
      </c>
      <c r="E118" s="133"/>
      <c r="F118" s="20"/>
      <c r="G118" s="72"/>
    </row>
    <row r="119" spans="1:7" hidden="1" outlineLevel="2" x14ac:dyDescent="0.3">
      <c r="A119" s="73" t="s">
        <v>128</v>
      </c>
      <c r="B119" s="40" t="s">
        <v>127</v>
      </c>
      <c r="C119" s="71">
        <f>C41</f>
        <v>0</v>
      </c>
      <c r="D119" s="122">
        <f>-D118*(1/3)*(C119)</f>
        <v>0</v>
      </c>
      <c r="E119" s="20"/>
      <c r="F119" s="20"/>
      <c r="G119" s="20"/>
    </row>
    <row r="120" spans="1:7" hidden="1" outlineLevel="1" collapsed="1" x14ac:dyDescent="0.3">
      <c r="A120" s="292" t="s">
        <v>158</v>
      </c>
      <c r="B120" s="293"/>
      <c r="C120" s="36">
        <f>C118+(D119/D34)</f>
        <v>4.1666666666666664E-2</v>
      </c>
      <c r="D120" s="37">
        <f>SUM(D118:D119)</f>
        <v>174.20775159721552</v>
      </c>
      <c r="E120" s="20"/>
      <c r="F120" s="20"/>
      <c r="G120" s="20"/>
    </row>
    <row r="121" spans="1:7" hidden="1" outlineLevel="1" x14ac:dyDescent="0.3">
      <c r="A121" s="297"/>
      <c r="B121" s="298"/>
      <c r="C121" s="298"/>
      <c r="D121" s="299"/>
      <c r="E121" s="20"/>
      <c r="F121" s="20"/>
      <c r="G121" s="20"/>
    </row>
    <row r="122" spans="1:7" hidden="1" outlineLevel="1" x14ac:dyDescent="0.3">
      <c r="A122" s="30" t="s">
        <v>123</v>
      </c>
      <c r="B122" s="38" t="s">
        <v>125</v>
      </c>
      <c r="C122" s="36" t="s">
        <v>47</v>
      </c>
      <c r="D122" s="30" t="s">
        <v>39</v>
      </c>
      <c r="E122" s="20"/>
      <c r="F122" s="20"/>
      <c r="G122" s="20"/>
    </row>
    <row r="123" spans="1:7" hidden="1" outlineLevel="2" x14ac:dyDescent="0.3">
      <c r="A123" s="151" t="s">
        <v>40</v>
      </c>
      <c r="B123" s="149" t="s">
        <v>122</v>
      </c>
      <c r="C123" s="165">
        <v>1.35E-2</v>
      </c>
      <c r="D123" s="64">
        <f t="shared" ref="D123:D128" si="1">C123*($D$64+$D$113+$D$34)</f>
        <v>41.805210500997831</v>
      </c>
      <c r="E123" s="20"/>
      <c r="F123" s="20"/>
      <c r="G123" s="72"/>
    </row>
    <row r="124" spans="1:7" hidden="1" outlineLevel="2" x14ac:dyDescent="0.3">
      <c r="A124" s="151" t="s">
        <v>19</v>
      </c>
      <c r="B124" s="40" t="s">
        <v>104</v>
      </c>
      <c r="C124" s="180">
        <v>1.66E-2</v>
      </c>
      <c r="D124" s="64">
        <f t="shared" si="1"/>
        <v>51.404925504930667</v>
      </c>
      <c r="E124" s="20"/>
      <c r="F124" s="20"/>
      <c r="G124" s="72"/>
    </row>
    <row r="125" spans="1:7" hidden="1" outlineLevel="2" x14ac:dyDescent="0.3">
      <c r="A125" s="151" t="s">
        <v>20</v>
      </c>
      <c r="B125" s="40" t="s">
        <v>105</v>
      </c>
      <c r="C125" s="180">
        <v>2.7000000000000001E-3</v>
      </c>
      <c r="D125" s="64">
        <f t="shared" si="1"/>
        <v>8.3610421001995672</v>
      </c>
      <c r="E125" s="20"/>
      <c r="F125" s="20"/>
      <c r="G125" s="72"/>
    </row>
    <row r="126" spans="1:7" hidden="1" outlineLevel="2" x14ac:dyDescent="0.3">
      <c r="A126" s="151" t="s">
        <v>22</v>
      </c>
      <c r="B126" s="40" t="s">
        <v>103</v>
      </c>
      <c r="C126" s="180">
        <v>2.8E-3</v>
      </c>
      <c r="D126" s="64">
        <f t="shared" si="1"/>
        <v>8.6707103261328839</v>
      </c>
      <c r="E126" s="20"/>
      <c r="F126" s="20"/>
      <c r="G126" s="20"/>
    </row>
    <row r="127" spans="1:7" hidden="1" outlineLevel="2" x14ac:dyDescent="0.3">
      <c r="A127" s="151" t="s">
        <v>25</v>
      </c>
      <c r="B127" s="40" t="s">
        <v>71</v>
      </c>
      <c r="C127" s="180">
        <v>2.0000000000000001E-4</v>
      </c>
      <c r="D127" s="64">
        <f t="shared" si="1"/>
        <v>0.61933645186663455</v>
      </c>
      <c r="E127" s="20"/>
      <c r="F127" s="20"/>
      <c r="G127" s="20"/>
    </row>
    <row r="128" spans="1:7" hidden="1" outlineLevel="2" x14ac:dyDescent="0.3">
      <c r="A128" s="151" t="s">
        <v>27</v>
      </c>
      <c r="B128" s="40" t="s">
        <v>72</v>
      </c>
      <c r="C128" s="180">
        <v>2.9999999999999997E-4</v>
      </c>
      <c r="D128" s="64">
        <f t="shared" si="1"/>
        <v>0.92900467779995166</v>
      </c>
      <c r="E128" s="20"/>
      <c r="F128" s="20"/>
      <c r="G128" s="20"/>
    </row>
    <row r="129" spans="1:7" hidden="1" outlineLevel="1" collapsed="1" x14ac:dyDescent="0.3">
      <c r="A129" s="292" t="s">
        <v>158</v>
      </c>
      <c r="B129" s="293"/>
      <c r="C129" s="36">
        <f>SUM(C123:C128)</f>
        <v>3.61E-2</v>
      </c>
      <c r="D129" s="37">
        <f>SUM(D123:D128)</f>
        <v>111.79022956192752</v>
      </c>
      <c r="E129" s="20"/>
      <c r="F129" s="20"/>
      <c r="G129" s="20"/>
    </row>
    <row r="130" spans="1:7" hidden="1" outlineLevel="1" x14ac:dyDescent="0.3">
      <c r="A130" s="297"/>
      <c r="B130" s="298"/>
      <c r="C130" s="298"/>
      <c r="D130" s="299"/>
      <c r="E130" s="20"/>
      <c r="F130" s="20"/>
      <c r="G130" s="20"/>
    </row>
    <row r="131" spans="1:7" hidden="1" outlineLevel="1" x14ac:dyDescent="0.3">
      <c r="A131" s="295" t="s">
        <v>157</v>
      </c>
      <c r="B131" s="296"/>
      <c r="C131" s="30" t="s">
        <v>47</v>
      </c>
      <c r="D131" s="30" t="s">
        <v>39</v>
      </c>
      <c r="E131" s="20"/>
      <c r="F131" s="20"/>
      <c r="G131" s="20"/>
    </row>
    <row r="132" spans="1:7" hidden="1" outlineLevel="1" x14ac:dyDescent="0.3">
      <c r="A132" s="151" t="s">
        <v>69</v>
      </c>
      <c r="B132" s="40" t="s">
        <v>124</v>
      </c>
      <c r="C132" s="46"/>
      <c r="D132" s="98">
        <f>D120</f>
        <v>174.20775159721552</v>
      </c>
      <c r="E132" s="20"/>
      <c r="F132" s="20"/>
      <c r="G132" s="20"/>
    </row>
    <row r="133" spans="1:7" hidden="1" outlineLevel="1" x14ac:dyDescent="0.3">
      <c r="A133" s="151" t="s">
        <v>123</v>
      </c>
      <c r="B133" s="40" t="s">
        <v>125</v>
      </c>
      <c r="C133" s="46"/>
      <c r="D133" s="98">
        <f>D129</f>
        <v>111.79022956192752</v>
      </c>
      <c r="E133" s="20"/>
      <c r="F133" s="20"/>
      <c r="G133" s="20"/>
    </row>
    <row r="134" spans="1:7" collapsed="1" x14ac:dyDescent="0.3">
      <c r="A134" s="292" t="s">
        <v>14</v>
      </c>
      <c r="B134" s="294"/>
      <c r="C134" s="293"/>
      <c r="D134" s="99">
        <f>SUM(D132:D133)</f>
        <v>285.99798115914302</v>
      </c>
      <c r="E134" s="20"/>
      <c r="F134" s="20"/>
      <c r="G134" s="20"/>
    </row>
    <row r="135" spans="1:7" x14ac:dyDescent="0.3">
      <c r="A135" s="297"/>
      <c r="B135" s="298"/>
      <c r="C135" s="298"/>
      <c r="D135" s="299"/>
      <c r="E135" s="20"/>
      <c r="F135" s="20"/>
      <c r="G135" s="20"/>
    </row>
    <row r="136" spans="1:7" x14ac:dyDescent="0.3">
      <c r="A136" s="286" t="s">
        <v>73</v>
      </c>
      <c r="B136" s="287"/>
      <c r="C136" s="287"/>
      <c r="D136" s="288"/>
      <c r="E136" s="20"/>
      <c r="F136" s="20"/>
      <c r="G136" s="20"/>
    </row>
    <row r="137" spans="1:7" hidden="1" outlineLevel="1" x14ac:dyDescent="0.3">
      <c r="A137" s="297"/>
      <c r="B137" s="298"/>
      <c r="C137" s="298"/>
      <c r="D137" s="299"/>
      <c r="E137" s="20"/>
      <c r="F137" s="20"/>
      <c r="G137" s="20"/>
    </row>
    <row r="138" spans="1:7" hidden="1" outlineLevel="1" x14ac:dyDescent="0.3">
      <c r="A138" s="153">
        <v>5</v>
      </c>
      <c r="B138" s="292" t="s">
        <v>248</v>
      </c>
      <c r="C138" s="293"/>
      <c r="D138" s="30" t="s">
        <v>39</v>
      </c>
      <c r="E138" s="20"/>
      <c r="F138" s="20"/>
      <c r="G138" s="20"/>
    </row>
    <row r="139" spans="1:7" hidden="1" outlineLevel="1" x14ac:dyDescent="0.3">
      <c r="A139" s="151" t="s">
        <v>40</v>
      </c>
      <c r="B139" s="308" t="s">
        <v>249</v>
      </c>
      <c r="C139" s="309"/>
      <c r="D139" s="95">
        <f>INSUMOS!H17</f>
        <v>53.838916666666663</v>
      </c>
      <c r="E139" s="20"/>
      <c r="F139" s="20"/>
      <c r="G139" s="20"/>
    </row>
    <row r="140" spans="1:7" hidden="1" outlineLevel="1" x14ac:dyDescent="0.3">
      <c r="A140" s="151" t="s">
        <v>19</v>
      </c>
      <c r="B140" s="308" t="s">
        <v>269</v>
      </c>
      <c r="C140" s="309"/>
      <c r="D140" s="74">
        <f>INSUMOS!H38</f>
        <v>47.283611111111107</v>
      </c>
      <c r="E140" s="20"/>
      <c r="F140" s="20"/>
      <c r="G140" s="20"/>
    </row>
    <row r="141" spans="1:7" hidden="1" outlineLevel="1" x14ac:dyDescent="0.3">
      <c r="A141" s="151" t="s">
        <v>20</v>
      </c>
      <c r="B141" s="310" t="s">
        <v>268</v>
      </c>
      <c r="C141" s="311"/>
      <c r="D141" s="181">
        <f>INSUMOS!H48</f>
        <v>25</v>
      </c>
      <c r="E141" s="20"/>
      <c r="F141" s="20"/>
      <c r="G141" s="20"/>
    </row>
    <row r="142" spans="1:7" hidden="1" outlineLevel="1" x14ac:dyDescent="0.3">
      <c r="A142" s="151" t="s">
        <v>25</v>
      </c>
      <c r="B142" s="312" t="s">
        <v>42</v>
      </c>
      <c r="C142" s="313"/>
      <c r="D142" s="179">
        <v>0</v>
      </c>
      <c r="E142" s="20"/>
      <c r="F142" s="20"/>
      <c r="G142" s="20"/>
    </row>
    <row r="143" spans="1:7" collapsed="1" x14ac:dyDescent="0.3">
      <c r="A143" s="292" t="s">
        <v>74</v>
      </c>
      <c r="B143" s="294"/>
      <c r="C143" s="293"/>
      <c r="D143" s="97">
        <f>SUM(D139:D142)</f>
        <v>126.12252777777778</v>
      </c>
      <c r="E143" s="20"/>
      <c r="F143" s="20"/>
      <c r="G143" s="20"/>
    </row>
    <row r="144" spans="1:7" x14ac:dyDescent="0.3">
      <c r="A144" s="289"/>
      <c r="B144" s="290"/>
      <c r="C144" s="290"/>
      <c r="D144" s="291"/>
      <c r="E144" s="20"/>
      <c r="F144" s="20"/>
      <c r="G144" s="20"/>
    </row>
    <row r="145" spans="1:7" x14ac:dyDescent="0.3">
      <c r="A145" s="314" t="s">
        <v>75</v>
      </c>
      <c r="B145" s="314"/>
      <c r="C145" s="314"/>
      <c r="D145" s="160">
        <f>D34+D70+D113+D134+D143</f>
        <v>4593.106547270093</v>
      </c>
      <c r="E145" s="20"/>
      <c r="F145" s="20"/>
      <c r="G145" s="20"/>
    </row>
    <row r="146" spans="1:7" x14ac:dyDescent="0.3">
      <c r="A146" s="271"/>
      <c r="B146" s="271"/>
      <c r="C146" s="271"/>
      <c r="D146" s="271"/>
      <c r="E146" s="20"/>
      <c r="F146" s="20"/>
      <c r="G146" s="20"/>
    </row>
    <row r="147" spans="1:7" x14ac:dyDescent="0.3">
      <c r="A147" s="315" t="s">
        <v>76</v>
      </c>
      <c r="B147" s="315"/>
      <c r="C147" s="315"/>
      <c r="D147" s="315"/>
      <c r="E147" s="20"/>
      <c r="F147" s="20"/>
      <c r="G147" s="20"/>
    </row>
    <row r="148" spans="1:7" hidden="1" outlineLevel="1" x14ac:dyDescent="0.3">
      <c r="A148" s="316"/>
      <c r="B148" s="317"/>
      <c r="C148" s="317"/>
      <c r="D148" s="318"/>
      <c r="E148" s="20"/>
      <c r="F148" s="20"/>
      <c r="G148" s="20"/>
    </row>
    <row r="149" spans="1:7" hidden="1" outlineLevel="1" x14ac:dyDescent="0.3">
      <c r="A149" s="153">
        <v>6</v>
      </c>
      <c r="B149" s="38" t="s">
        <v>77</v>
      </c>
      <c r="C149" s="30" t="s">
        <v>47</v>
      </c>
      <c r="D149" s="30" t="s">
        <v>39</v>
      </c>
      <c r="E149" s="20"/>
      <c r="F149" s="20"/>
      <c r="G149" s="20"/>
    </row>
    <row r="150" spans="1:7" hidden="1" outlineLevel="1" x14ac:dyDescent="0.3">
      <c r="A150" s="151" t="s">
        <v>40</v>
      </c>
      <c r="B150" s="40" t="s">
        <v>78</v>
      </c>
      <c r="C150" s="166">
        <v>5.6599999999999998E-2</v>
      </c>
      <c r="D150" s="28">
        <f>C150*D145</f>
        <v>259.96983057548726</v>
      </c>
      <c r="E150" s="20"/>
      <c r="F150" s="20"/>
      <c r="G150" s="20"/>
    </row>
    <row r="151" spans="1:7" hidden="1" outlineLevel="1" x14ac:dyDescent="0.3">
      <c r="A151" s="305" t="s">
        <v>4</v>
      </c>
      <c r="B151" s="306"/>
      <c r="C151" s="307"/>
      <c r="D151" s="28">
        <f>D145+D150</f>
        <v>4853.0763778455803</v>
      </c>
      <c r="E151" s="20"/>
      <c r="F151" s="20"/>
      <c r="G151" s="20"/>
    </row>
    <row r="152" spans="1:7" hidden="1" outlineLevel="1" x14ac:dyDescent="0.3">
      <c r="A152" s="151" t="s">
        <v>19</v>
      </c>
      <c r="B152" s="40" t="s">
        <v>79</v>
      </c>
      <c r="C152" s="166">
        <v>5.62E-2</v>
      </c>
      <c r="D152" s="28">
        <f>C152*D151</f>
        <v>272.7428924349216</v>
      </c>
      <c r="E152" s="20"/>
      <c r="F152" s="20"/>
      <c r="G152" s="20"/>
    </row>
    <row r="153" spans="1:7" hidden="1" outlineLevel="1" x14ac:dyDescent="0.3">
      <c r="A153" s="305" t="s">
        <v>4</v>
      </c>
      <c r="B153" s="306"/>
      <c r="C153" s="306"/>
      <c r="D153" s="28">
        <f>D152+D151</f>
        <v>5125.8192702805018</v>
      </c>
      <c r="E153" s="20"/>
      <c r="F153" s="20"/>
      <c r="G153" s="20"/>
    </row>
    <row r="154" spans="1:7" hidden="1" outlineLevel="1" x14ac:dyDescent="0.3">
      <c r="A154" s="151" t="s">
        <v>20</v>
      </c>
      <c r="B154" s="310" t="s">
        <v>80</v>
      </c>
      <c r="C154" s="319"/>
      <c r="D154" s="311"/>
      <c r="E154" s="20"/>
      <c r="F154" s="20"/>
      <c r="G154" s="20"/>
    </row>
    <row r="155" spans="1:7" hidden="1" outlineLevel="1" x14ac:dyDescent="0.3">
      <c r="A155" s="88"/>
      <c r="B155" s="152" t="s">
        <v>81</v>
      </c>
      <c r="C155" s="166">
        <v>6.4999999999999997E-3</v>
      </c>
      <c r="D155" s="28">
        <f>(D153/(1-C158)*C155)</f>
        <v>35.501145718511737</v>
      </c>
      <c r="E155" s="20"/>
      <c r="F155" s="20"/>
      <c r="G155" s="20"/>
    </row>
    <row r="156" spans="1:7" hidden="1" outlineLevel="1" x14ac:dyDescent="0.3">
      <c r="A156" s="88"/>
      <c r="B156" s="152" t="s">
        <v>82</v>
      </c>
      <c r="C156" s="166">
        <v>0.03</v>
      </c>
      <c r="D156" s="28">
        <f>(D153/(1-C158)*C156)</f>
        <v>163.85144177774646</v>
      </c>
      <c r="E156" s="20"/>
      <c r="F156" s="20"/>
      <c r="G156" s="20"/>
    </row>
    <row r="157" spans="1:7" hidden="1" outlineLevel="1" x14ac:dyDescent="0.3">
      <c r="A157" s="88"/>
      <c r="B157" s="152" t="s">
        <v>238</v>
      </c>
      <c r="C157" s="75">
        <v>2.5000000000000001E-2</v>
      </c>
      <c r="D157" s="28">
        <f>(D153/(1-C158)*C157)</f>
        <v>136.54286814812207</v>
      </c>
      <c r="E157" s="20"/>
      <c r="F157" s="20"/>
      <c r="G157" s="20"/>
    </row>
    <row r="158" spans="1:7" hidden="1" outlineLevel="1" x14ac:dyDescent="0.3">
      <c r="A158" s="305" t="s">
        <v>83</v>
      </c>
      <c r="B158" s="307"/>
      <c r="C158" s="76">
        <f>SUM(C155:C157)</f>
        <v>6.1499999999999999E-2</v>
      </c>
      <c r="D158" s="28">
        <f>SUM(D155:D157)</f>
        <v>335.89545564438026</v>
      </c>
      <c r="E158" s="20"/>
      <c r="F158" s="20"/>
      <c r="G158" s="20"/>
    </row>
    <row r="159" spans="1:7" collapsed="1" x14ac:dyDescent="0.3">
      <c r="A159" s="292" t="s">
        <v>84</v>
      </c>
      <c r="B159" s="293"/>
      <c r="C159" s="77">
        <f>SUM(C150+C152+C158)</f>
        <v>0.17430000000000001</v>
      </c>
      <c r="D159" s="29">
        <f>SUM(D158+D150+D152)</f>
        <v>868.60817865478919</v>
      </c>
      <c r="E159" s="20"/>
      <c r="F159" s="20"/>
      <c r="G159" s="20"/>
    </row>
    <row r="160" spans="1:7" x14ac:dyDescent="0.3">
      <c r="A160" s="289"/>
      <c r="B160" s="290"/>
      <c r="C160" s="290"/>
      <c r="D160" s="291"/>
      <c r="E160" s="20"/>
      <c r="F160" s="20"/>
      <c r="G160" s="20"/>
    </row>
    <row r="161" spans="1:7" x14ac:dyDescent="0.3">
      <c r="A161" s="280" t="s">
        <v>85</v>
      </c>
      <c r="B161" s="282"/>
      <c r="C161" s="281"/>
      <c r="D161" s="78" t="s">
        <v>39</v>
      </c>
      <c r="E161" s="20"/>
      <c r="F161" s="20"/>
      <c r="G161" s="20"/>
    </row>
    <row r="162" spans="1:7" x14ac:dyDescent="0.3">
      <c r="A162" s="275" t="s">
        <v>86</v>
      </c>
      <c r="B162" s="320"/>
      <c r="C162" s="320"/>
      <c r="D162" s="276"/>
      <c r="E162" s="20"/>
      <c r="F162" s="20"/>
      <c r="G162" s="20"/>
    </row>
    <row r="163" spans="1:7" x14ac:dyDescent="0.3">
      <c r="A163" s="154" t="s">
        <v>40</v>
      </c>
      <c r="B163" s="275" t="s">
        <v>87</v>
      </c>
      <c r="C163" s="276"/>
      <c r="D163" s="25">
        <f>D34</f>
        <v>2164.279</v>
      </c>
      <c r="E163" s="20"/>
      <c r="F163" s="20"/>
      <c r="G163" s="20"/>
    </row>
    <row r="164" spans="1:7" x14ac:dyDescent="0.3">
      <c r="A164" s="154" t="s">
        <v>19</v>
      </c>
      <c r="B164" s="275" t="s">
        <v>88</v>
      </c>
      <c r="C164" s="276"/>
      <c r="D164" s="25">
        <f>D70</f>
        <v>1807.5424889999999</v>
      </c>
      <c r="E164" s="20"/>
      <c r="F164" s="20"/>
      <c r="G164" s="20"/>
    </row>
    <row r="165" spans="1:7" x14ac:dyDescent="0.3">
      <c r="A165" s="154" t="s">
        <v>20</v>
      </c>
      <c r="B165" s="275" t="s">
        <v>89</v>
      </c>
      <c r="C165" s="276"/>
      <c r="D165" s="25">
        <f>D113</f>
        <v>209.16454933317272</v>
      </c>
      <c r="E165" s="20"/>
      <c r="F165" s="20"/>
      <c r="G165" s="20"/>
    </row>
    <row r="166" spans="1:7" x14ac:dyDescent="0.3">
      <c r="A166" s="154" t="s">
        <v>22</v>
      </c>
      <c r="B166" s="275" t="s">
        <v>90</v>
      </c>
      <c r="C166" s="276"/>
      <c r="D166" s="25">
        <f>D134</f>
        <v>285.99798115914302</v>
      </c>
      <c r="E166" s="20"/>
      <c r="F166" s="20"/>
      <c r="G166" s="20"/>
    </row>
    <row r="167" spans="1:7" x14ac:dyDescent="0.3">
      <c r="A167" s="154" t="s">
        <v>25</v>
      </c>
      <c r="B167" s="275" t="s">
        <v>91</v>
      </c>
      <c r="C167" s="276"/>
      <c r="D167" s="25">
        <f>D143</f>
        <v>126.12252777777778</v>
      </c>
      <c r="E167" s="20"/>
      <c r="F167" s="20"/>
      <c r="G167" s="20"/>
    </row>
    <row r="168" spans="1:7" x14ac:dyDescent="0.3">
      <c r="A168" s="321" t="s">
        <v>92</v>
      </c>
      <c r="B168" s="322"/>
      <c r="C168" s="323"/>
      <c r="D168" s="25">
        <f>SUM(D163:D167)</f>
        <v>4593.106547270093</v>
      </c>
      <c r="E168" s="20"/>
      <c r="F168" s="20"/>
      <c r="G168" s="20"/>
    </row>
    <row r="169" spans="1:7" x14ac:dyDescent="0.3">
      <c r="A169" s="154" t="s">
        <v>93</v>
      </c>
      <c r="B169" s="275" t="s">
        <v>94</v>
      </c>
      <c r="C169" s="276"/>
      <c r="D169" s="25">
        <f>D159</f>
        <v>868.60817865478919</v>
      </c>
      <c r="E169" s="20"/>
      <c r="F169" s="20"/>
      <c r="G169" s="20"/>
    </row>
    <row r="170" spans="1:7" x14ac:dyDescent="0.3">
      <c r="A170" s="280" t="s">
        <v>95</v>
      </c>
      <c r="B170" s="282"/>
      <c r="C170" s="281"/>
      <c r="D170" s="124">
        <f xml:space="preserve"> D168+D169</f>
        <v>5461.7147259248823</v>
      </c>
      <c r="E170" s="20"/>
      <c r="F170" s="20"/>
      <c r="G170" s="20"/>
    </row>
    <row r="171" spans="1:7" x14ac:dyDescent="0.3">
      <c r="A171" s="20"/>
      <c r="B171" s="20"/>
      <c r="C171" s="20"/>
      <c r="D171" s="20"/>
      <c r="E171" s="20"/>
      <c r="F171" s="20"/>
      <c r="G171" s="20"/>
    </row>
    <row r="172" spans="1:7" x14ac:dyDescent="0.3">
      <c r="A172" s="324" t="s">
        <v>3</v>
      </c>
      <c r="B172" s="325"/>
      <c r="C172" s="326"/>
      <c r="D172" s="79" t="s">
        <v>2</v>
      </c>
      <c r="E172" s="20"/>
      <c r="F172" s="20"/>
      <c r="G172" s="20"/>
    </row>
    <row r="173" spans="1:7" x14ac:dyDescent="0.3">
      <c r="A173" s="327" t="s">
        <v>113</v>
      </c>
      <c r="B173" s="328"/>
      <c r="C173" s="329"/>
      <c r="D173" s="80">
        <v>1</v>
      </c>
      <c r="E173" s="20"/>
      <c r="F173" s="20"/>
      <c r="G173" s="20"/>
    </row>
    <row r="174" spans="1:7" x14ac:dyDescent="0.3">
      <c r="A174" s="327" t="s">
        <v>0</v>
      </c>
      <c r="B174" s="328"/>
      <c r="C174" s="329"/>
      <c r="D174" s="90">
        <f>D173*D170</f>
        <v>5461.7147259248823</v>
      </c>
      <c r="E174" s="20"/>
      <c r="F174" s="20"/>
      <c r="G174" s="20"/>
    </row>
    <row r="175" spans="1:7" x14ac:dyDescent="0.3">
      <c r="A175" s="20"/>
      <c r="B175" s="20"/>
      <c r="C175" s="20"/>
      <c r="D175" s="20"/>
      <c r="E175" s="20"/>
      <c r="F175" s="20"/>
      <c r="G175" s="20"/>
    </row>
    <row r="176" spans="1:7" x14ac:dyDescent="0.3">
      <c r="A176" s="20"/>
      <c r="B176" s="20"/>
      <c r="C176" s="20"/>
      <c r="D176" s="20"/>
      <c r="E176" s="20"/>
      <c r="F176" s="20"/>
      <c r="G176" s="20"/>
    </row>
  </sheetData>
  <mergeCells count="96">
    <mergeCell ref="A168:C168"/>
    <mergeCell ref="B169:C169"/>
    <mergeCell ref="A170:C170"/>
    <mergeCell ref="A172:C172"/>
    <mergeCell ref="A174:C174"/>
    <mergeCell ref="A173:C173"/>
    <mergeCell ref="B167:C167"/>
    <mergeCell ref="A153:C153"/>
    <mergeCell ref="B154:D154"/>
    <mergeCell ref="A158:B158"/>
    <mergeCell ref="A159:B159"/>
    <mergeCell ref="A160:D160"/>
    <mergeCell ref="A161:C161"/>
    <mergeCell ref="A162:D162"/>
    <mergeCell ref="B163:C163"/>
    <mergeCell ref="B164:C164"/>
    <mergeCell ref="B165:C165"/>
    <mergeCell ref="B166:C166"/>
    <mergeCell ref="A151:C151"/>
    <mergeCell ref="B138:C138"/>
    <mergeCell ref="B139:C139"/>
    <mergeCell ref="B140:C140"/>
    <mergeCell ref="B141:C141"/>
    <mergeCell ref="B142:C142"/>
    <mergeCell ref="A143:C143"/>
    <mergeCell ref="A144:D144"/>
    <mergeCell ref="A145:C145"/>
    <mergeCell ref="A146:D146"/>
    <mergeCell ref="A147:D147"/>
    <mergeCell ref="A148:D148"/>
    <mergeCell ref="A137:D137"/>
    <mergeCell ref="A114:D114"/>
    <mergeCell ref="A115:D115"/>
    <mergeCell ref="A116:D116"/>
    <mergeCell ref="A120:B120"/>
    <mergeCell ref="A121:D121"/>
    <mergeCell ref="A129:B129"/>
    <mergeCell ref="A130:D130"/>
    <mergeCell ref="A131:B131"/>
    <mergeCell ref="A134:C134"/>
    <mergeCell ref="A135:D135"/>
    <mergeCell ref="A136:D136"/>
    <mergeCell ref="A113:B113"/>
    <mergeCell ref="A73:D73"/>
    <mergeCell ref="A86:B86"/>
    <mergeCell ref="A87:D87"/>
    <mergeCell ref="A98:B98"/>
    <mergeCell ref="A99:D99"/>
    <mergeCell ref="A104:B104"/>
    <mergeCell ref="A105:D105"/>
    <mergeCell ref="A106:B106"/>
    <mergeCell ref="A109:C109"/>
    <mergeCell ref="A110:B110"/>
    <mergeCell ref="A111:B111"/>
    <mergeCell ref="A72:D72"/>
    <mergeCell ref="A36:D36"/>
    <mergeCell ref="A37:D37"/>
    <mergeCell ref="A42:B42"/>
    <mergeCell ref="A43:D43"/>
    <mergeCell ref="A53:B53"/>
    <mergeCell ref="A54:D54"/>
    <mergeCell ref="A64:C64"/>
    <mergeCell ref="A65:D65"/>
    <mergeCell ref="A66:B66"/>
    <mergeCell ref="A70:C70"/>
    <mergeCell ref="A71:D71"/>
    <mergeCell ref="A35:D35"/>
    <mergeCell ref="C17:D17"/>
    <mergeCell ref="C18:D18"/>
    <mergeCell ref="A19:D19"/>
    <mergeCell ref="B20:C20"/>
    <mergeCell ref="B21:C21"/>
    <mergeCell ref="B22:C22"/>
    <mergeCell ref="A23:D23"/>
    <mergeCell ref="A24:D24"/>
    <mergeCell ref="A25:D25"/>
    <mergeCell ref="B26:C26"/>
    <mergeCell ref="A34:C34"/>
    <mergeCell ref="C16:D16"/>
    <mergeCell ref="A5:D5"/>
    <mergeCell ref="C6:D6"/>
    <mergeCell ref="C7:D7"/>
    <mergeCell ref="C8:D8"/>
    <mergeCell ref="C9:D9"/>
    <mergeCell ref="C10:D10"/>
    <mergeCell ref="C11:D11"/>
    <mergeCell ref="C12:D12"/>
    <mergeCell ref="A13:D13"/>
    <mergeCell ref="A14:D14"/>
    <mergeCell ref="A15:D15"/>
    <mergeCell ref="A4:D4"/>
    <mergeCell ref="A1:D1"/>
    <mergeCell ref="A2:B2"/>
    <mergeCell ref="C2:D2"/>
    <mergeCell ref="A3:B3"/>
    <mergeCell ref="C3:D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C8995A-C9A4-4A28-87D0-F4F5D6551CB3}">
  <sheetPr codeName="Planilha2"/>
  <dimension ref="A1:WVO176"/>
  <sheetViews>
    <sheetView zoomScale="85" zoomScaleNormal="85" workbookViewId="0">
      <selection activeCell="A13" sqref="A13:D13"/>
    </sheetView>
  </sheetViews>
  <sheetFormatPr defaultColWidth="0" defaultRowHeight="15.75" customHeight="1" zeroHeight="1" outlineLevelRow="2" x14ac:dyDescent="0.3"/>
  <cols>
    <col min="1" max="1" width="18.7109375" style="21" customWidth="1"/>
    <col min="2" max="2" width="72" style="21" customWidth="1"/>
    <col min="3" max="3" width="22.85546875" style="21" customWidth="1"/>
    <col min="4" max="4" width="29.85546875" style="21" customWidth="1"/>
    <col min="5" max="5" width="11.85546875" style="81" customWidth="1"/>
    <col min="6" max="6" width="9.140625" style="81" customWidth="1"/>
    <col min="7" max="254" width="9.140625" style="81" hidden="1"/>
    <col min="255" max="255" width="18.7109375" style="81" hidden="1"/>
    <col min="256" max="256" width="72" style="81" hidden="1"/>
    <col min="257" max="257" width="22.85546875" style="81" hidden="1"/>
    <col min="258" max="258" width="29.85546875" style="81" hidden="1"/>
    <col min="259" max="260" width="9.140625" style="81" hidden="1"/>
    <col min="261" max="261" width="15.42578125" style="81" hidden="1"/>
    <col min="262" max="510" width="9.140625" style="81" hidden="1"/>
    <col min="511" max="511" width="18.7109375" style="81" hidden="1"/>
    <col min="512" max="512" width="72" style="81" hidden="1"/>
    <col min="513" max="513" width="22.85546875" style="81" hidden="1"/>
    <col min="514" max="514" width="29.85546875" style="81" hidden="1"/>
    <col min="515" max="516" width="9.140625" style="81" hidden="1"/>
    <col min="517" max="517" width="15.42578125" style="81" hidden="1"/>
    <col min="518" max="766" width="9.140625" style="81" hidden="1"/>
    <col min="767" max="767" width="18.7109375" style="81" hidden="1"/>
    <col min="768" max="768" width="72" style="81" hidden="1"/>
    <col min="769" max="769" width="22.85546875" style="81" hidden="1"/>
    <col min="770" max="770" width="29.85546875" style="81" hidden="1"/>
    <col min="771" max="772" width="9.140625" style="81" hidden="1"/>
    <col min="773" max="773" width="15.42578125" style="81" hidden="1"/>
    <col min="774" max="1022" width="9.140625" style="81" hidden="1"/>
    <col min="1023" max="1023" width="18.7109375" style="81" hidden="1"/>
    <col min="1024" max="1024" width="72" style="81" hidden="1"/>
    <col min="1025" max="1025" width="22.85546875" style="81" hidden="1"/>
    <col min="1026" max="1026" width="29.85546875" style="81" hidden="1"/>
    <col min="1027" max="1028" width="9.140625" style="81" hidden="1"/>
    <col min="1029" max="1029" width="15.42578125" style="81" hidden="1"/>
    <col min="1030" max="1278" width="9.140625" style="81" hidden="1"/>
    <col min="1279" max="1279" width="18.7109375" style="81" hidden="1"/>
    <col min="1280" max="1280" width="72" style="81" hidden="1"/>
    <col min="1281" max="1281" width="22.85546875" style="81" hidden="1"/>
    <col min="1282" max="1282" width="29.85546875" style="81" hidden="1"/>
    <col min="1283" max="1284" width="9.140625" style="81" hidden="1"/>
    <col min="1285" max="1285" width="15.42578125" style="81" hidden="1"/>
    <col min="1286" max="1534" width="9.140625" style="81" hidden="1"/>
    <col min="1535" max="1535" width="18.7109375" style="81" hidden="1"/>
    <col min="1536" max="1536" width="72" style="81" hidden="1"/>
    <col min="1537" max="1537" width="22.85546875" style="81" hidden="1"/>
    <col min="1538" max="1538" width="29.85546875" style="81" hidden="1"/>
    <col min="1539" max="1540" width="9.140625" style="81" hidden="1"/>
    <col min="1541" max="1541" width="15.42578125" style="81" hidden="1"/>
    <col min="1542" max="1790" width="9.140625" style="81" hidden="1"/>
    <col min="1791" max="1791" width="18.7109375" style="81" hidden="1"/>
    <col min="1792" max="1792" width="72" style="81" hidden="1"/>
    <col min="1793" max="1793" width="22.85546875" style="81" hidden="1"/>
    <col min="1794" max="1794" width="29.85546875" style="81" hidden="1"/>
    <col min="1795" max="1796" width="9.140625" style="81" hidden="1"/>
    <col min="1797" max="1797" width="15.42578125" style="81" hidden="1"/>
    <col min="1798" max="2046" width="9.140625" style="81" hidden="1"/>
    <col min="2047" max="2047" width="18.7109375" style="81" hidden="1"/>
    <col min="2048" max="2048" width="72" style="81" hidden="1"/>
    <col min="2049" max="2049" width="22.85546875" style="81" hidden="1"/>
    <col min="2050" max="2050" width="29.85546875" style="81" hidden="1"/>
    <col min="2051" max="2052" width="9.140625" style="81" hidden="1"/>
    <col min="2053" max="2053" width="15.42578125" style="81" hidden="1"/>
    <col min="2054" max="2302" width="9.140625" style="81" hidden="1"/>
    <col min="2303" max="2303" width="18.7109375" style="81" hidden="1"/>
    <col min="2304" max="2304" width="72" style="81" hidden="1"/>
    <col min="2305" max="2305" width="22.85546875" style="81" hidden="1"/>
    <col min="2306" max="2306" width="29.85546875" style="81" hidden="1"/>
    <col min="2307" max="2308" width="9.140625" style="81" hidden="1"/>
    <col min="2309" max="2309" width="15.42578125" style="81" hidden="1"/>
    <col min="2310" max="2558" width="9.140625" style="81" hidden="1"/>
    <col min="2559" max="2559" width="18.7109375" style="81" hidden="1"/>
    <col min="2560" max="2560" width="72" style="81" hidden="1"/>
    <col min="2561" max="2561" width="22.85546875" style="81" hidden="1"/>
    <col min="2562" max="2562" width="29.85546875" style="81" hidden="1"/>
    <col min="2563" max="2564" width="9.140625" style="81" hidden="1"/>
    <col min="2565" max="2565" width="15.42578125" style="81" hidden="1"/>
    <col min="2566" max="2814" width="9.140625" style="81" hidden="1"/>
    <col min="2815" max="2815" width="18.7109375" style="81" hidden="1"/>
    <col min="2816" max="2816" width="72" style="81" hidden="1"/>
    <col min="2817" max="2817" width="22.85546875" style="81" hidden="1"/>
    <col min="2818" max="2818" width="29.85546875" style="81" hidden="1"/>
    <col min="2819" max="2820" width="9.140625" style="81" hidden="1"/>
    <col min="2821" max="2821" width="15.42578125" style="81" hidden="1"/>
    <col min="2822" max="3070" width="9.140625" style="81" hidden="1"/>
    <col min="3071" max="3071" width="18.7109375" style="81" hidden="1"/>
    <col min="3072" max="3072" width="72" style="81" hidden="1"/>
    <col min="3073" max="3073" width="22.85546875" style="81" hidden="1"/>
    <col min="3074" max="3074" width="29.85546875" style="81" hidden="1"/>
    <col min="3075" max="3076" width="9.140625" style="81" hidden="1"/>
    <col min="3077" max="3077" width="15.42578125" style="81" hidden="1"/>
    <col min="3078" max="3326" width="9.140625" style="81" hidden="1"/>
    <col min="3327" max="3327" width="18.7109375" style="81" hidden="1"/>
    <col min="3328" max="3328" width="72" style="81" hidden="1"/>
    <col min="3329" max="3329" width="22.85546875" style="81" hidden="1"/>
    <col min="3330" max="3330" width="29.85546875" style="81" hidden="1"/>
    <col min="3331" max="3332" width="9.140625" style="81" hidden="1"/>
    <col min="3333" max="3333" width="15.42578125" style="81" hidden="1"/>
    <col min="3334" max="3582" width="9.140625" style="81" hidden="1"/>
    <col min="3583" max="3583" width="18.7109375" style="81" hidden="1"/>
    <col min="3584" max="3584" width="72" style="81" hidden="1"/>
    <col min="3585" max="3585" width="22.85546875" style="81" hidden="1"/>
    <col min="3586" max="3586" width="29.85546875" style="81" hidden="1"/>
    <col min="3587" max="3588" width="9.140625" style="81" hidden="1"/>
    <col min="3589" max="3589" width="15.42578125" style="81" hidden="1"/>
    <col min="3590" max="3838" width="9.140625" style="81" hidden="1"/>
    <col min="3839" max="3839" width="18.7109375" style="81" hidden="1"/>
    <col min="3840" max="3840" width="72" style="81" hidden="1"/>
    <col min="3841" max="3841" width="22.85546875" style="81" hidden="1"/>
    <col min="3842" max="3842" width="29.85546875" style="81" hidden="1"/>
    <col min="3843" max="3844" width="9.140625" style="81" hidden="1"/>
    <col min="3845" max="3845" width="15.42578125" style="81" hidden="1"/>
    <col min="3846" max="4094" width="9.140625" style="81" hidden="1"/>
    <col min="4095" max="4095" width="18.7109375" style="81" hidden="1"/>
    <col min="4096" max="4096" width="72" style="81" hidden="1"/>
    <col min="4097" max="4097" width="22.85546875" style="81" hidden="1"/>
    <col min="4098" max="4098" width="29.85546875" style="81" hidden="1"/>
    <col min="4099" max="4100" width="9.140625" style="81" hidden="1"/>
    <col min="4101" max="4101" width="15.42578125" style="81" hidden="1"/>
    <col min="4102" max="4350" width="9.140625" style="81" hidden="1"/>
    <col min="4351" max="4351" width="18.7109375" style="81" hidden="1"/>
    <col min="4352" max="4352" width="72" style="81" hidden="1"/>
    <col min="4353" max="4353" width="22.85546875" style="81" hidden="1"/>
    <col min="4354" max="4354" width="29.85546875" style="81" hidden="1"/>
    <col min="4355" max="4356" width="9.140625" style="81" hidden="1"/>
    <col min="4357" max="4357" width="15.42578125" style="81" hidden="1"/>
    <col min="4358" max="4606" width="9.140625" style="81" hidden="1"/>
    <col min="4607" max="4607" width="18.7109375" style="81" hidden="1"/>
    <col min="4608" max="4608" width="72" style="81" hidden="1"/>
    <col min="4609" max="4609" width="22.85546875" style="81" hidden="1"/>
    <col min="4610" max="4610" width="29.85546875" style="81" hidden="1"/>
    <col min="4611" max="4612" width="9.140625" style="81" hidden="1"/>
    <col min="4613" max="4613" width="15.42578125" style="81" hidden="1"/>
    <col min="4614" max="4862" width="9.140625" style="81" hidden="1"/>
    <col min="4863" max="4863" width="18.7109375" style="81" hidden="1"/>
    <col min="4864" max="4864" width="72" style="81" hidden="1"/>
    <col min="4865" max="4865" width="22.85546875" style="81" hidden="1"/>
    <col min="4866" max="4866" width="29.85546875" style="81" hidden="1"/>
    <col min="4867" max="4868" width="9.140625" style="81" hidden="1"/>
    <col min="4869" max="4869" width="15.42578125" style="81" hidden="1"/>
    <col min="4870" max="5118" width="9.140625" style="81" hidden="1"/>
    <col min="5119" max="5119" width="18.7109375" style="81" hidden="1"/>
    <col min="5120" max="5120" width="72" style="81" hidden="1"/>
    <col min="5121" max="5121" width="22.85546875" style="81" hidden="1"/>
    <col min="5122" max="5122" width="29.85546875" style="81" hidden="1"/>
    <col min="5123" max="5124" width="9.140625" style="81" hidden="1"/>
    <col min="5125" max="5125" width="15.42578125" style="81" hidden="1"/>
    <col min="5126" max="5374" width="9.140625" style="81" hidden="1"/>
    <col min="5375" max="5375" width="18.7109375" style="81" hidden="1"/>
    <col min="5376" max="5376" width="72" style="81" hidden="1"/>
    <col min="5377" max="5377" width="22.85546875" style="81" hidden="1"/>
    <col min="5378" max="5378" width="29.85546875" style="81" hidden="1"/>
    <col min="5379" max="5380" width="9.140625" style="81" hidden="1"/>
    <col min="5381" max="5381" width="15.42578125" style="81" hidden="1"/>
    <col min="5382" max="5630" width="9.140625" style="81" hidden="1"/>
    <col min="5631" max="5631" width="18.7109375" style="81" hidden="1"/>
    <col min="5632" max="5632" width="72" style="81" hidden="1"/>
    <col min="5633" max="5633" width="22.85546875" style="81" hidden="1"/>
    <col min="5634" max="5634" width="29.85546875" style="81" hidden="1"/>
    <col min="5635" max="5636" width="9.140625" style="81" hidden="1"/>
    <col min="5637" max="5637" width="15.42578125" style="81" hidden="1"/>
    <col min="5638" max="5886" width="9.140625" style="81" hidden="1"/>
    <col min="5887" max="5887" width="18.7109375" style="81" hidden="1"/>
    <col min="5888" max="5888" width="72" style="81" hidden="1"/>
    <col min="5889" max="5889" width="22.85546875" style="81" hidden="1"/>
    <col min="5890" max="5890" width="29.85546875" style="81" hidden="1"/>
    <col min="5891" max="5892" width="9.140625" style="81" hidden="1"/>
    <col min="5893" max="5893" width="15.42578125" style="81" hidden="1"/>
    <col min="5894" max="6142" width="9.140625" style="81" hidden="1"/>
    <col min="6143" max="6143" width="18.7109375" style="81" hidden="1"/>
    <col min="6144" max="6144" width="72" style="81" hidden="1"/>
    <col min="6145" max="6145" width="22.85546875" style="81" hidden="1"/>
    <col min="6146" max="6146" width="29.85546875" style="81" hidden="1"/>
    <col min="6147" max="6148" width="9.140625" style="81" hidden="1"/>
    <col min="6149" max="6149" width="15.42578125" style="81" hidden="1"/>
    <col min="6150" max="6398" width="9.140625" style="81" hidden="1"/>
    <col min="6399" max="6399" width="18.7109375" style="81" hidden="1"/>
    <col min="6400" max="6400" width="72" style="81" hidden="1"/>
    <col min="6401" max="6401" width="22.85546875" style="81" hidden="1"/>
    <col min="6402" max="6402" width="29.85546875" style="81" hidden="1"/>
    <col min="6403" max="6404" width="9.140625" style="81" hidden="1"/>
    <col min="6405" max="6405" width="15.42578125" style="81" hidden="1"/>
    <col min="6406" max="6654" width="9.140625" style="81" hidden="1"/>
    <col min="6655" max="6655" width="18.7109375" style="81" hidden="1"/>
    <col min="6656" max="6656" width="72" style="81" hidden="1"/>
    <col min="6657" max="6657" width="22.85546875" style="81" hidden="1"/>
    <col min="6658" max="6658" width="29.85546875" style="81" hidden="1"/>
    <col min="6659" max="6660" width="9.140625" style="81" hidden="1"/>
    <col min="6661" max="6661" width="15.42578125" style="81" hidden="1"/>
    <col min="6662" max="6910" width="9.140625" style="81" hidden="1"/>
    <col min="6911" max="6911" width="18.7109375" style="81" hidden="1"/>
    <col min="6912" max="6912" width="72" style="81" hidden="1"/>
    <col min="6913" max="6913" width="22.85546875" style="81" hidden="1"/>
    <col min="6914" max="6914" width="29.85546875" style="81" hidden="1"/>
    <col min="6915" max="6916" width="9.140625" style="81" hidden="1"/>
    <col min="6917" max="6917" width="15.42578125" style="81" hidden="1"/>
    <col min="6918" max="7166" width="9.140625" style="81" hidden="1"/>
    <col min="7167" max="7167" width="18.7109375" style="81" hidden="1"/>
    <col min="7168" max="7168" width="72" style="81" hidden="1"/>
    <col min="7169" max="7169" width="22.85546875" style="81" hidden="1"/>
    <col min="7170" max="7170" width="29.85546875" style="81" hidden="1"/>
    <col min="7171" max="7172" width="9.140625" style="81" hidden="1"/>
    <col min="7173" max="7173" width="15.42578125" style="81" hidden="1"/>
    <col min="7174" max="7422" width="9.140625" style="81" hidden="1"/>
    <col min="7423" max="7423" width="18.7109375" style="81" hidden="1"/>
    <col min="7424" max="7424" width="72" style="81" hidden="1"/>
    <col min="7425" max="7425" width="22.85546875" style="81" hidden="1"/>
    <col min="7426" max="7426" width="29.85546875" style="81" hidden="1"/>
    <col min="7427" max="7428" width="9.140625" style="81" hidden="1"/>
    <col min="7429" max="7429" width="15.42578125" style="81" hidden="1"/>
    <col min="7430" max="7678" width="9.140625" style="81" hidden="1"/>
    <col min="7679" max="7679" width="18.7109375" style="81" hidden="1"/>
    <col min="7680" max="7680" width="72" style="81" hidden="1"/>
    <col min="7681" max="7681" width="22.85546875" style="81" hidden="1"/>
    <col min="7682" max="7682" width="29.85546875" style="81" hidden="1"/>
    <col min="7683" max="7684" width="9.140625" style="81" hidden="1"/>
    <col min="7685" max="7685" width="15.42578125" style="81" hidden="1"/>
    <col min="7686" max="7934" width="9.140625" style="81" hidden="1"/>
    <col min="7935" max="7935" width="18.7109375" style="81" hidden="1"/>
    <col min="7936" max="7936" width="72" style="81" hidden="1"/>
    <col min="7937" max="7937" width="22.85546875" style="81" hidden="1"/>
    <col min="7938" max="7938" width="29.85546875" style="81" hidden="1"/>
    <col min="7939" max="7940" width="9.140625" style="81" hidden="1"/>
    <col min="7941" max="7941" width="15.42578125" style="81" hidden="1"/>
    <col min="7942" max="8190" width="9.140625" style="81" hidden="1"/>
    <col min="8191" max="8191" width="18.7109375" style="81" hidden="1"/>
    <col min="8192" max="8192" width="72" style="81" hidden="1"/>
    <col min="8193" max="8193" width="22.85546875" style="81" hidden="1"/>
    <col min="8194" max="8194" width="29.85546875" style="81" hidden="1"/>
    <col min="8195" max="8196" width="9.140625" style="81" hidden="1"/>
    <col min="8197" max="8197" width="15.42578125" style="81" hidden="1"/>
    <col min="8198" max="8446" width="9.140625" style="81" hidden="1"/>
    <col min="8447" max="8447" width="18.7109375" style="81" hidden="1"/>
    <col min="8448" max="8448" width="72" style="81" hidden="1"/>
    <col min="8449" max="8449" width="22.85546875" style="81" hidden="1"/>
    <col min="8450" max="8450" width="29.85546875" style="81" hidden="1"/>
    <col min="8451" max="8452" width="9.140625" style="81" hidden="1"/>
    <col min="8453" max="8453" width="15.42578125" style="81" hidden="1"/>
    <col min="8454" max="8702" width="9.140625" style="81" hidden="1"/>
    <col min="8703" max="8703" width="18.7109375" style="81" hidden="1"/>
    <col min="8704" max="8704" width="72" style="81" hidden="1"/>
    <col min="8705" max="8705" width="22.85546875" style="81" hidden="1"/>
    <col min="8706" max="8706" width="29.85546875" style="81" hidden="1"/>
    <col min="8707" max="8708" width="9.140625" style="81" hidden="1"/>
    <col min="8709" max="8709" width="15.42578125" style="81" hidden="1"/>
    <col min="8710" max="8958" width="9.140625" style="81" hidden="1"/>
    <col min="8959" max="8959" width="18.7109375" style="81" hidden="1"/>
    <col min="8960" max="8960" width="72" style="81" hidden="1"/>
    <col min="8961" max="8961" width="22.85546875" style="81" hidden="1"/>
    <col min="8962" max="8962" width="29.85546875" style="81" hidden="1"/>
    <col min="8963" max="8964" width="9.140625" style="81" hidden="1"/>
    <col min="8965" max="8965" width="15.42578125" style="81" hidden="1"/>
    <col min="8966" max="9214" width="9.140625" style="81" hidden="1"/>
    <col min="9215" max="9215" width="18.7109375" style="81" hidden="1"/>
    <col min="9216" max="9216" width="72" style="81" hidden="1"/>
    <col min="9217" max="9217" width="22.85546875" style="81" hidden="1"/>
    <col min="9218" max="9218" width="29.85546875" style="81" hidden="1"/>
    <col min="9219" max="9220" width="9.140625" style="81" hidden="1"/>
    <col min="9221" max="9221" width="15.42578125" style="81" hidden="1"/>
    <col min="9222" max="9470" width="9.140625" style="81" hidden="1"/>
    <col min="9471" max="9471" width="18.7109375" style="81" hidden="1"/>
    <col min="9472" max="9472" width="72" style="81" hidden="1"/>
    <col min="9473" max="9473" width="22.85546875" style="81" hidden="1"/>
    <col min="9474" max="9474" width="29.85546875" style="81" hidden="1"/>
    <col min="9475" max="9476" width="9.140625" style="81" hidden="1"/>
    <col min="9477" max="9477" width="15.42578125" style="81" hidden="1"/>
    <col min="9478" max="9726" width="9.140625" style="81" hidden="1"/>
    <col min="9727" max="9727" width="18.7109375" style="81" hidden="1"/>
    <col min="9728" max="9728" width="72" style="81" hidden="1"/>
    <col min="9729" max="9729" width="22.85546875" style="81" hidden="1"/>
    <col min="9730" max="9730" width="29.85546875" style="81" hidden="1"/>
    <col min="9731" max="9732" width="9.140625" style="81" hidden="1"/>
    <col min="9733" max="9733" width="15.42578125" style="81" hidden="1"/>
    <col min="9734" max="9982" width="9.140625" style="81" hidden="1"/>
    <col min="9983" max="9983" width="18.7109375" style="81" hidden="1"/>
    <col min="9984" max="9984" width="72" style="81" hidden="1"/>
    <col min="9985" max="9985" width="22.85546875" style="81" hidden="1"/>
    <col min="9986" max="9986" width="29.85546875" style="81" hidden="1"/>
    <col min="9987" max="9988" width="9.140625" style="81" hidden="1"/>
    <col min="9989" max="9989" width="15.42578125" style="81" hidden="1"/>
    <col min="9990" max="10238" width="9.140625" style="81" hidden="1"/>
    <col min="10239" max="10239" width="18.7109375" style="81" hidden="1"/>
    <col min="10240" max="10240" width="72" style="81" hidden="1"/>
    <col min="10241" max="10241" width="22.85546875" style="81" hidden="1"/>
    <col min="10242" max="10242" width="29.85546875" style="81" hidden="1"/>
    <col min="10243" max="10244" width="9.140625" style="81" hidden="1"/>
    <col min="10245" max="10245" width="15.42578125" style="81" hidden="1"/>
    <col min="10246" max="10494" width="9.140625" style="81" hidden="1"/>
    <col min="10495" max="10495" width="18.7109375" style="81" hidden="1"/>
    <col min="10496" max="10496" width="72" style="81" hidden="1"/>
    <col min="10497" max="10497" width="22.85546875" style="81" hidden="1"/>
    <col min="10498" max="10498" width="29.85546875" style="81" hidden="1"/>
    <col min="10499" max="10500" width="9.140625" style="81" hidden="1"/>
    <col min="10501" max="10501" width="15.42578125" style="81" hidden="1"/>
    <col min="10502" max="10750" width="9.140625" style="81" hidden="1"/>
    <col min="10751" max="10751" width="18.7109375" style="81" hidden="1"/>
    <col min="10752" max="10752" width="72" style="81" hidden="1"/>
    <col min="10753" max="10753" width="22.85546875" style="81" hidden="1"/>
    <col min="10754" max="10754" width="29.85546875" style="81" hidden="1"/>
    <col min="10755" max="10756" width="9.140625" style="81" hidden="1"/>
    <col min="10757" max="10757" width="15.42578125" style="81" hidden="1"/>
    <col min="10758" max="11006" width="9.140625" style="81" hidden="1"/>
    <col min="11007" max="11007" width="18.7109375" style="81" hidden="1"/>
    <col min="11008" max="11008" width="72" style="81" hidden="1"/>
    <col min="11009" max="11009" width="22.85546875" style="81" hidden="1"/>
    <col min="11010" max="11010" width="29.85546875" style="81" hidden="1"/>
    <col min="11011" max="11012" width="9.140625" style="81" hidden="1"/>
    <col min="11013" max="11013" width="15.42578125" style="81" hidden="1"/>
    <col min="11014" max="11262" width="9.140625" style="81" hidden="1"/>
    <col min="11263" max="11263" width="18.7109375" style="81" hidden="1"/>
    <col min="11264" max="11264" width="72" style="81" hidden="1"/>
    <col min="11265" max="11265" width="22.85546875" style="81" hidden="1"/>
    <col min="11266" max="11266" width="29.85546875" style="81" hidden="1"/>
    <col min="11267" max="11268" width="9.140625" style="81" hidden="1"/>
    <col min="11269" max="11269" width="15.42578125" style="81" hidden="1"/>
    <col min="11270" max="11518" width="9.140625" style="81" hidden="1"/>
    <col min="11519" max="11519" width="18.7109375" style="81" hidden="1"/>
    <col min="11520" max="11520" width="72" style="81" hidden="1"/>
    <col min="11521" max="11521" width="22.85546875" style="81" hidden="1"/>
    <col min="11522" max="11522" width="29.85546875" style="81" hidden="1"/>
    <col min="11523" max="11524" width="9.140625" style="81" hidden="1"/>
    <col min="11525" max="11525" width="15.42578125" style="81" hidden="1"/>
    <col min="11526" max="11774" width="9.140625" style="81" hidden="1"/>
    <col min="11775" max="11775" width="18.7109375" style="81" hidden="1"/>
    <col min="11776" max="11776" width="72" style="81" hidden="1"/>
    <col min="11777" max="11777" width="22.85546875" style="81" hidden="1"/>
    <col min="11778" max="11778" width="29.85546875" style="81" hidden="1"/>
    <col min="11779" max="11780" width="9.140625" style="81" hidden="1"/>
    <col min="11781" max="11781" width="15.42578125" style="81" hidden="1"/>
    <col min="11782" max="12030" width="9.140625" style="81" hidden="1"/>
    <col min="12031" max="12031" width="18.7109375" style="81" hidden="1"/>
    <col min="12032" max="12032" width="72" style="81" hidden="1"/>
    <col min="12033" max="12033" width="22.85546875" style="81" hidden="1"/>
    <col min="12034" max="12034" width="29.85546875" style="81" hidden="1"/>
    <col min="12035" max="12036" width="9.140625" style="81" hidden="1"/>
    <col min="12037" max="12037" width="15.42578125" style="81" hidden="1"/>
    <col min="12038" max="12286" width="9.140625" style="81" hidden="1"/>
    <col min="12287" max="12287" width="18.7109375" style="81" hidden="1"/>
    <col min="12288" max="12288" width="72" style="81" hidden="1"/>
    <col min="12289" max="12289" width="22.85546875" style="81" hidden="1"/>
    <col min="12290" max="12290" width="29.85546875" style="81" hidden="1"/>
    <col min="12291" max="12292" width="9.140625" style="81" hidden="1"/>
    <col min="12293" max="12293" width="15.42578125" style="81" hidden="1"/>
    <col min="12294" max="12542" width="9.140625" style="81" hidden="1"/>
    <col min="12543" max="12543" width="18.7109375" style="81" hidden="1"/>
    <col min="12544" max="12544" width="72" style="81" hidden="1"/>
    <col min="12545" max="12545" width="22.85546875" style="81" hidden="1"/>
    <col min="12546" max="12546" width="29.85546875" style="81" hidden="1"/>
    <col min="12547" max="12548" width="9.140625" style="81" hidden="1"/>
    <col min="12549" max="12549" width="15.42578125" style="81" hidden="1"/>
    <col min="12550" max="12798" width="9.140625" style="81" hidden="1"/>
    <col min="12799" max="12799" width="18.7109375" style="81" hidden="1"/>
    <col min="12800" max="12800" width="72" style="81" hidden="1"/>
    <col min="12801" max="12801" width="22.85546875" style="81" hidden="1"/>
    <col min="12802" max="12802" width="29.85546875" style="81" hidden="1"/>
    <col min="12803" max="12804" width="9.140625" style="81" hidden="1"/>
    <col min="12805" max="12805" width="15.42578125" style="81" hidden="1"/>
    <col min="12806" max="13054" width="9.140625" style="81" hidden="1"/>
    <col min="13055" max="13055" width="18.7109375" style="81" hidden="1"/>
    <col min="13056" max="13056" width="72" style="81" hidden="1"/>
    <col min="13057" max="13057" width="22.85546875" style="81" hidden="1"/>
    <col min="13058" max="13058" width="29.85546875" style="81" hidden="1"/>
    <col min="13059" max="13060" width="9.140625" style="81" hidden="1"/>
    <col min="13061" max="13061" width="15.42578125" style="81" hidden="1"/>
    <col min="13062" max="13310" width="9.140625" style="81" hidden="1"/>
    <col min="13311" max="13311" width="18.7109375" style="81" hidden="1"/>
    <col min="13312" max="13312" width="72" style="81" hidden="1"/>
    <col min="13313" max="13313" width="22.85546875" style="81" hidden="1"/>
    <col min="13314" max="13314" width="29.85546875" style="81" hidden="1"/>
    <col min="13315" max="13316" width="9.140625" style="81" hidden="1"/>
    <col min="13317" max="13317" width="15.42578125" style="81" hidden="1"/>
    <col min="13318" max="13566" width="9.140625" style="81" hidden="1"/>
    <col min="13567" max="13567" width="18.7109375" style="81" hidden="1"/>
    <col min="13568" max="13568" width="72" style="81" hidden="1"/>
    <col min="13569" max="13569" width="22.85546875" style="81" hidden="1"/>
    <col min="13570" max="13570" width="29.85546875" style="81" hidden="1"/>
    <col min="13571" max="13572" width="9.140625" style="81" hidden="1"/>
    <col min="13573" max="13573" width="15.42578125" style="81" hidden="1"/>
    <col min="13574" max="13822" width="9.140625" style="81" hidden="1"/>
    <col min="13823" max="13823" width="18.7109375" style="81" hidden="1"/>
    <col min="13824" max="13824" width="72" style="81" hidden="1"/>
    <col min="13825" max="13825" width="22.85546875" style="81" hidden="1"/>
    <col min="13826" max="13826" width="29.85546875" style="81" hidden="1"/>
    <col min="13827" max="13828" width="9.140625" style="81" hidden="1"/>
    <col min="13829" max="13829" width="15.42578125" style="81" hidden="1"/>
    <col min="13830" max="14078" width="9.140625" style="81" hidden="1"/>
    <col min="14079" max="14079" width="18.7109375" style="81" hidden="1"/>
    <col min="14080" max="14080" width="72" style="81" hidden="1"/>
    <col min="14081" max="14081" width="22.85546875" style="81" hidden="1"/>
    <col min="14082" max="14082" width="29.85546875" style="81" hidden="1"/>
    <col min="14083" max="14084" width="9.140625" style="81" hidden="1"/>
    <col min="14085" max="14085" width="15.42578125" style="81" hidden="1"/>
    <col min="14086" max="14334" width="9.140625" style="81" hidden="1"/>
    <col min="14335" max="14335" width="18.7109375" style="81" hidden="1"/>
    <col min="14336" max="14336" width="72" style="81" hidden="1"/>
    <col min="14337" max="14337" width="22.85546875" style="81" hidden="1"/>
    <col min="14338" max="14338" width="29.85546875" style="81" hidden="1"/>
    <col min="14339" max="14340" width="9.140625" style="81" hidden="1"/>
    <col min="14341" max="14341" width="15.42578125" style="81" hidden="1"/>
    <col min="14342" max="14590" width="9.140625" style="81" hidden="1"/>
    <col min="14591" max="14591" width="18.7109375" style="81" hidden="1"/>
    <col min="14592" max="14592" width="72" style="81" hidden="1"/>
    <col min="14593" max="14593" width="22.85546875" style="81" hidden="1"/>
    <col min="14594" max="14594" width="29.85546875" style="81" hidden="1"/>
    <col min="14595" max="14596" width="9.140625" style="81" hidden="1"/>
    <col min="14597" max="14597" width="15.42578125" style="81" hidden="1"/>
    <col min="14598" max="14846" width="9.140625" style="81" hidden="1"/>
    <col min="14847" max="14847" width="18.7109375" style="81" hidden="1"/>
    <col min="14848" max="14848" width="72" style="81" hidden="1"/>
    <col min="14849" max="14849" width="22.85546875" style="81" hidden="1"/>
    <col min="14850" max="14850" width="29.85546875" style="81" hidden="1"/>
    <col min="14851" max="14852" width="9.140625" style="81" hidden="1"/>
    <col min="14853" max="14853" width="15.42578125" style="81" hidden="1"/>
    <col min="14854" max="15102" width="9.140625" style="81" hidden="1"/>
    <col min="15103" max="15103" width="18.7109375" style="81" hidden="1"/>
    <col min="15104" max="15104" width="72" style="81" hidden="1"/>
    <col min="15105" max="15105" width="22.85546875" style="81" hidden="1"/>
    <col min="15106" max="15106" width="29.85546875" style="81" hidden="1"/>
    <col min="15107" max="15108" width="9.140625" style="81" hidden="1"/>
    <col min="15109" max="15109" width="15.42578125" style="81" hidden="1"/>
    <col min="15110" max="15358" width="9.140625" style="81" hidden="1"/>
    <col min="15359" max="15359" width="18.7109375" style="81" hidden="1"/>
    <col min="15360" max="15360" width="72" style="81" hidden="1"/>
    <col min="15361" max="15361" width="22.85546875" style="81" hidden="1"/>
    <col min="15362" max="15362" width="29.85546875" style="81" hidden="1"/>
    <col min="15363" max="15364" width="9.140625" style="81" hidden="1"/>
    <col min="15365" max="15365" width="15.42578125" style="81" hidden="1"/>
    <col min="15366" max="15614" width="9.140625" style="81" hidden="1"/>
    <col min="15615" max="15615" width="18.7109375" style="81" hidden="1"/>
    <col min="15616" max="15616" width="72" style="81" hidden="1"/>
    <col min="15617" max="15617" width="22.85546875" style="81" hidden="1"/>
    <col min="15618" max="15618" width="29.85546875" style="81" hidden="1"/>
    <col min="15619" max="15620" width="9.140625" style="81" hidden="1"/>
    <col min="15621" max="15621" width="15.42578125" style="81" hidden="1"/>
    <col min="15622" max="15870" width="9.140625" style="81" hidden="1"/>
    <col min="15871" max="15871" width="18.7109375" style="81" hidden="1"/>
    <col min="15872" max="15872" width="72" style="81" hidden="1"/>
    <col min="15873" max="15873" width="22.85546875" style="81" hidden="1"/>
    <col min="15874" max="15874" width="29.85546875" style="81" hidden="1"/>
    <col min="15875" max="15876" width="9.140625" style="81" hidden="1"/>
    <col min="15877" max="15877" width="15.42578125" style="81" hidden="1"/>
    <col min="15878" max="16126" width="9.140625" style="81" hidden="1"/>
    <col min="16127" max="16127" width="18.7109375" style="81" hidden="1"/>
    <col min="16128" max="16128" width="72" style="81" hidden="1"/>
    <col min="16129" max="16129" width="22.85546875" style="81" hidden="1"/>
    <col min="16130" max="16130" width="29.85546875" style="81" hidden="1"/>
    <col min="16131" max="16132" width="9.140625" style="81" hidden="1"/>
    <col min="16133" max="16135" width="15.42578125" style="81" hidden="1"/>
    <col min="16136" max="16384" width="9.140625" style="81" hidden="1"/>
  </cols>
  <sheetData>
    <row r="1" spans="1:7" x14ac:dyDescent="0.3">
      <c r="A1" s="251" t="s">
        <v>9</v>
      </c>
      <c r="B1" s="251"/>
      <c r="C1" s="251"/>
      <c r="D1" s="251"/>
      <c r="E1" s="20"/>
      <c r="F1" s="20"/>
      <c r="G1" s="20"/>
    </row>
    <row r="2" spans="1:7" x14ac:dyDescent="0.3">
      <c r="A2" s="252" t="s">
        <v>15</v>
      </c>
      <c r="B2" s="252"/>
      <c r="C2" s="253" t="s">
        <v>221</v>
      </c>
      <c r="D2" s="254"/>
      <c r="E2" s="20"/>
      <c r="F2" s="20"/>
      <c r="G2" s="20"/>
    </row>
    <row r="3" spans="1:7" x14ac:dyDescent="0.3">
      <c r="A3" s="252" t="s">
        <v>16</v>
      </c>
      <c r="B3" s="252"/>
      <c r="C3" s="253" t="s">
        <v>198</v>
      </c>
      <c r="D3" s="254"/>
      <c r="E3" s="20"/>
      <c r="F3" s="20"/>
      <c r="G3" s="20"/>
    </row>
    <row r="4" spans="1:7" x14ac:dyDescent="0.3">
      <c r="A4" s="250"/>
      <c r="B4" s="250"/>
      <c r="C4" s="250"/>
      <c r="D4" s="250"/>
      <c r="E4" s="20"/>
      <c r="F4" s="20"/>
      <c r="G4" s="20"/>
    </row>
    <row r="5" spans="1:7" x14ac:dyDescent="0.3">
      <c r="A5" s="250" t="s">
        <v>17</v>
      </c>
      <c r="B5" s="250"/>
      <c r="C5" s="250"/>
      <c r="D5" s="250"/>
      <c r="E5" s="20"/>
      <c r="F5" s="20"/>
      <c r="G5" s="20"/>
    </row>
    <row r="6" spans="1:7" x14ac:dyDescent="0.3">
      <c r="A6" s="156" t="s">
        <v>18</v>
      </c>
      <c r="B6" s="158" t="s">
        <v>8</v>
      </c>
      <c r="C6" s="257" t="s">
        <v>96</v>
      </c>
      <c r="D6" s="258"/>
      <c r="E6" s="20"/>
      <c r="F6" s="20"/>
      <c r="G6" s="20"/>
    </row>
    <row r="7" spans="1:7" x14ac:dyDescent="0.3">
      <c r="A7" s="156" t="s">
        <v>19</v>
      </c>
      <c r="B7" s="158" t="s">
        <v>7</v>
      </c>
      <c r="C7" s="259" t="s">
        <v>264</v>
      </c>
      <c r="D7" s="259"/>
      <c r="E7" s="20"/>
      <c r="F7" s="20"/>
      <c r="G7" s="20"/>
    </row>
    <row r="8" spans="1:7" x14ac:dyDescent="0.3">
      <c r="A8" s="22" t="s">
        <v>20</v>
      </c>
      <c r="B8" s="23" t="s">
        <v>21</v>
      </c>
      <c r="C8" s="260" t="s">
        <v>222</v>
      </c>
      <c r="D8" s="261"/>
      <c r="E8" s="20"/>
      <c r="F8" s="20"/>
      <c r="G8" s="20"/>
    </row>
    <row r="9" spans="1:7" x14ac:dyDescent="0.3">
      <c r="A9" s="156" t="s">
        <v>22</v>
      </c>
      <c r="B9" s="158" t="s">
        <v>23</v>
      </c>
      <c r="C9" s="255" t="s">
        <v>24</v>
      </c>
      <c r="D9" s="256"/>
      <c r="E9" s="20"/>
      <c r="F9" s="20"/>
      <c r="G9" s="20"/>
    </row>
    <row r="10" spans="1:7" x14ac:dyDescent="0.3">
      <c r="A10" s="156" t="s">
        <v>25</v>
      </c>
      <c r="B10" s="158" t="s">
        <v>26</v>
      </c>
      <c r="C10" s="255" t="s">
        <v>199</v>
      </c>
      <c r="D10" s="256"/>
      <c r="E10" s="20"/>
      <c r="F10" s="20"/>
      <c r="G10" s="20"/>
    </row>
    <row r="11" spans="1:7" x14ac:dyDescent="0.3">
      <c r="A11" s="156" t="s">
        <v>27</v>
      </c>
      <c r="B11" s="158" t="s">
        <v>28</v>
      </c>
      <c r="C11" s="262">
        <v>1</v>
      </c>
      <c r="D11" s="263"/>
      <c r="E11" s="20"/>
      <c r="F11" s="20"/>
      <c r="G11" s="20"/>
    </row>
    <row r="12" spans="1:7" x14ac:dyDescent="0.3">
      <c r="A12" s="156" t="s">
        <v>29</v>
      </c>
      <c r="B12" s="158" t="s">
        <v>30</v>
      </c>
      <c r="C12" s="264">
        <f>Proposta!H5</f>
        <v>24</v>
      </c>
      <c r="D12" s="265"/>
      <c r="E12" s="20"/>
      <c r="F12" s="20"/>
      <c r="G12" s="20"/>
    </row>
    <row r="13" spans="1:7" x14ac:dyDescent="0.3">
      <c r="A13" s="266"/>
      <c r="B13" s="267"/>
      <c r="C13" s="267"/>
      <c r="D13" s="267"/>
      <c r="E13" s="20"/>
      <c r="F13" s="20"/>
      <c r="G13" s="20"/>
    </row>
    <row r="14" spans="1:7" x14ac:dyDescent="0.3">
      <c r="A14" s="268" t="s">
        <v>31</v>
      </c>
      <c r="B14" s="269"/>
      <c r="C14" s="269"/>
      <c r="D14" s="270"/>
      <c r="E14" s="20"/>
      <c r="F14" s="20"/>
      <c r="G14" s="20"/>
    </row>
    <row r="15" spans="1:7" x14ac:dyDescent="0.3">
      <c r="A15" s="259" t="s">
        <v>32</v>
      </c>
      <c r="B15" s="259"/>
      <c r="C15" s="259"/>
      <c r="D15" s="259"/>
      <c r="E15" s="20"/>
      <c r="F15" s="20"/>
      <c r="G15" s="20"/>
    </row>
    <row r="16" spans="1:7" x14ac:dyDescent="0.3">
      <c r="A16" s="156">
        <v>1</v>
      </c>
      <c r="B16" s="158" t="s">
        <v>33</v>
      </c>
      <c r="C16" s="255" t="s">
        <v>1</v>
      </c>
      <c r="D16" s="256" t="s">
        <v>1</v>
      </c>
      <c r="E16" s="20"/>
      <c r="F16" s="20"/>
      <c r="G16" s="20"/>
    </row>
    <row r="17" spans="1:7" x14ac:dyDescent="0.3">
      <c r="A17" s="156"/>
      <c r="B17" s="147" t="s">
        <v>202</v>
      </c>
      <c r="C17" s="272">
        <v>2</v>
      </c>
      <c r="D17" s="265">
        <v>1</v>
      </c>
      <c r="E17" s="20"/>
      <c r="F17" s="20"/>
      <c r="G17" s="20"/>
    </row>
    <row r="18" spans="1:7" x14ac:dyDescent="0.3">
      <c r="A18" s="156">
        <v>2</v>
      </c>
      <c r="B18" s="24" t="s">
        <v>34</v>
      </c>
      <c r="C18" s="273" t="s">
        <v>200</v>
      </c>
      <c r="D18" s="274"/>
      <c r="E18" s="20"/>
      <c r="F18" s="20"/>
      <c r="G18" s="20"/>
    </row>
    <row r="19" spans="1:7" x14ac:dyDescent="0.3">
      <c r="A19" s="259" t="s">
        <v>35</v>
      </c>
      <c r="B19" s="259"/>
      <c r="C19" s="259"/>
      <c r="D19" s="259"/>
      <c r="E19" s="20"/>
      <c r="F19" s="20"/>
      <c r="G19" s="20"/>
    </row>
    <row r="20" spans="1:7" x14ac:dyDescent="0.3">
      <c r="A20" s="156">
        <v>3</v>
      </c>
      <c r="B20" s="275" t="s">
        <v>6</v>
      </c>
      <c r="C20" s="276"/>
      <c r="D20" s="173">
        <v>1664.83</v>
      </c>
      <c r="E20" s="20"/>
      <c r="F20" s="20"/>
      <c r="G20" s="20"/>
    </row>
    <row r="21" spans="1:7" x14ac:dyDescent="0.3">
      <c r="A21" s="156">
        <v>4</v>
      </c>
      <c r="B21" s="275" t="s">
        <v>36</v>
      </c>
      <c r="C21" s="276"/>
      <c r="D21" s="174" t="s">
        <v>201</v>
      </c>
      <c r="E21" s="20"/>
      <c r="F21" s="20"/>
      <c r="G21" s="20"/>
    </row>
    <row r="22" spans="1:7" x14ac:dyDescent="0.3">
      <c r="A22" s="156">
        <v>5</v>
      </c>
      <c r="B22" s="275" t="s">
        <v>5</v>
      </c>
      <c r="C22" s="276"/>
      <c r="D22" s="175">
        <v>44228</v>
      </c>
      <c r="E22" s="20"/>
      <c r="F22" s="20"/>
      <c r="G22" s="20"/>
    </row>
    <row r="23" spans="1:7" x14ac:dyDescent="0.3">
      <c r="A23" s="255"/>
      <c r="B23" s="277"/>
      <c r="C23" s="277"/>
      <c r="D23" s="256"/>
      <c r="E23" s="20"/>
      <c r="F23" s="20"/>
      <c r="G23" s="20"/>
    </row>
    <row r="24" spans="1:7" x14ac:dyDescent="0.3">
      <c r="A24" s="278" t="s">
        <v>37</v>
      </c>
      <c r="B24" s="278"/>
      <c r="C24" s="278"/>
      <c r="D24" s="278"/>
      <c r="E24" s="20"/>
      <c r="F24" s="20"/>
      <c r="G24" s="20"/>
    </row>
    <row r="25" spans="1:7" outlineLevel="1" x14ac:dyDescent="0.3">
      <c r="A25" s="272"/>
      <c r="B25" s="279"/>
      <c r="C25" s="279"/>
      <c r="D25" s="265"/>
      <c r="E25" s="20"/>
      <c r="F25" s="20"/>
      <c r="G25" s="20"/>
    </row>
    <row r="26" spans="1:7" outlineLevel="1" x14ac:dyDescent="0.3">
      <c r="A26" s="157">
        <v>1</v>
      </c>
      <c r="B26" s="280" t="s">
        <v>38</v>
      </c>
      <c r="C26" s="281"/>
      <c r="D26" s="157" t="s">
        <v>39</v>
      </c>
      <c r="E26" s="20"/>
      <c r="F26" s="20"/>
      <c r="G26" s="20"/>
    </row>
    <row r="27" spans="1:7" outlineLevel="1" x14ac:dyDescent="0.3">
      <c r="A27" s="156" t="s">
        <v>40</v>
      </c>
      <c r="B27" s="158" t="s">
        <v>224</v>
      </c>
      <c r="C27" s="167">
        <v>220</v>
      </c>
      <c r="D27" s="25">
        <f>D20/C27*C27</f>
        <v>1664.83</v>
      </c>
      <c r="E27" s="20"/>
      <c r="F27" s="20"/>
      <c r="G27" s="20"/>
    </row>
    <row r="28" spans="1:7" outlineLevel="1" x14ac:dyDescent="0.3">
      <c r="A28" s="156" t="s">
        <v>19</v>
      </c>
      <c r="B28" s="158" t="s">
        <v>223</v>
      </c>
      <c r="C28" s="26">
        <v>0.3</v>
      </c>
      <c r="D28" s="25">
        <f>C28*D27</f>
        <v>499.44899999999996</v>
      </c>
      <c r="E28" s="20"/>
      <c r="F28" s="20"/>
      <c r="G28" s="20"/>
    </row>
    <row r="29" spans="1:7" outlineLevel="1" x14ac:dyDescent="0.3">
      <c r="A29" s="156" t="s">
        <v>20</v>
      </c>
      <c r="B29" s="158" t="s">
        <v>41</v>
      </c>
      <c r="C29" s="26">
        <v>0</v>
      </c>
      <c r="D29" s="25">
        <f>C29*D27</f>
        <v>0</v>
      </c>
      <c r="E29" s="20"/>
      <c r="F29" s="20"/>
      <c r="G29" s="20"/>
    </row>
    <row r="30" spans="1:7" outlineLevel="1" x14ac:dyDescent="0.3">
      <c r="A30" s="156" t="s">
        <v>22</v>
      </c>
      <c r="B30" s="158" t="s">
        <v>225</v>
      </c>
      <c r="C30" s="27">
        <v>15</v>
      </c>
      <c r="D30" s="28">
        <f>(D20/C27*C30)*1.5</f>
        <v>170.26670454545453</v>
      </c>
      <c r="E30" s="20"/>
      <c r="F30" s="20"/>
      <c r="G30" s="20"/>
    </row>
    <row r="31" spans="1:7" outlineLevel="1" x14ac:dyDescent="0.3">
      <c r="A31" s="156" t="s">
        <v>25</v>
      </c>
      <c r="B31" s="158" t="s">
        <v>226</v>
      </c>
      <c r="C31" s="26">
        <v>0</v>
      </c>
      <c r="D31" s="28">
        <f>C31*D30</f>
        <v>0</v>
      </c>
      <c r="E31" s="20"/>
      <c r="F31" s="20"/>
      <c r="G31" s="20"/>
    </row>
    <row r="32" spans="1:7" outlineLevel="1" x14ac:dyDescent="0.3">
      <c r="A32" s="156" t="s">
        <v>27</v>
      </c>
      <c r="B32" s="158" t="s">
        <v>227</v>
      </c>
      <c r="C32" s="27">
        <v>0</v>
      </c>
      <c r="D32" s="28">
        <f>(D20/C27)*C32</f>
        <v>0</v>
      </c>
      <c r="E32" s="20"/>
      <c r="F32" s="20"/>
      <c r="G32" s="20"/>
    </row>
    <row r="33" spans="1:7" outlineLevel="1" x14ac:dyDescent="0.3">
      <c r="A33" s="156" t="s">
        <v>29</v>
      </c>
      <c r="B33" s="85" t="s">
        <v>42</v>
      </c>
      <c r="C33" s="86">
        <v>0</v>
      </c>
      <c r="D33" s="87">
        <v>0</v>
      </c>
      <c r="E33" s="20"/>
      <c r="F33" s="20"/>
      <c r="G33" s="20"/>
    </row>
    <row r="34" spans="1:7" x14ac:dyDescent="0.3">
      <c r="A34" s="280" t="s">
        <v>43</v>
      </c>
      <c r="B34" s="282"/>
      <c r="C34" s="281"/>
      <c r="D34" s="29">
        <f>SUM(D27:D33)</f>
        <v>2334.5457045454546</v>
      </c>
      <c r="E34" s="20"/>
      <c r="F34" s="20"/>
      <c r="G34" s="20"/>
    </row>
    <row r="35" spans="1:7" x14ac:dyDescent="0.3">
      <c r="A35" s="271"/>
      <c r="B35" s="271"/>
      <c r="C35" s="271"/>
      <c r="D35" s="271"/>
      <c r="E35" s="20"/>
      <c r="F35" s="20"/>
      <c r="G35" s="20"/>
    </row>
    <row r="36" spans="1:7" x14ac:dyDescent="0.3">
      <c r="A36" s="286" t="s">
        <v>44</v>
      </c>
      <c r="B36" s="287"/>
      <c r="C36" s="287"/>
      <c r="D36" s="288"/>
      <c r="E36" s="20"/>
      <c r="F36" s="20"/>
      <c r="G36" s="20"/>
    </row>
    <row r="37" spans="1:7" outlineLevel="1" x14ac:dyDescent="0.3">
      <c r="A37" s="289"/>
      <c r="B37" s="290"/>
      <c r="C37" s="290"/>
      <c r="D37" s="291"/>
      <c r="E37" s="20"/>
      <c r="F37" s="20"/>
      <c r="G37" s="20"/>
    </row>
    <row r="38" spans="1:7" outlineLevel="1" x14ac:dyDescent="0.3">
      <c r="A38" s="30" t="s">
        <v>45</v>
      </c>
      <c r="B38" s="31" t="s">
        <v>46</v>
      </c>
      <c r="C38" s="30" t="s">
        <v>47</v>
      </c>
      <c r="D38" s="30" t="s">
        <v>39</v>
      </c>
      <c r="E38" s="20"/>
      <c r="F38" s="20"/>
      <c r="G38" s="20"/>
    </row>
    <row r="39" spans="1:7" outlineLevel="2" x14ac:dyDescent="0.3">
      <c r="A39" s="32" t="s">
        <v>40</v>
      </c>
      <c r="B39" s="33" t="s">
        <v>48</v>
      </c>
      <c r="C39" s="34">
        <f>1/12</f>
        <v>8.3333333333333329E-2</v>
      </c>
      <c r="D39" s="25">
        <f>C39*D34</f>
        <v>194.54547537878787</v>
      </c>
      <c r="E39" s="20"/>
      <c r="F39" s="20"/>
      <c r="G39" s="20"/>
    </row>
    <row r="40" spans="1:7" outlineLevel="2" x14ac:dyDescent="0.3">
      <c r="A40" s="32" t="s">
        <v>19</v>
      </c>
      <c r="B40" s="33" t="s">
        <v>197</v>
      </c>
      <c r="C40" s="34">
        <f>IF(C12&gt;60,(1/C12/3)*5,IF(C12&gt;48,(1/C12/3)*4,IF(C12&gt;36,(1/C12/3)*3,IF(C12&gt;24,(1/C12/3)*2,IF(C12&gt;12,(1/C12/3)*1,0)))))</f>
        <v>1.3888888888888888E-2</v>
      </c>
      <c r="D40" s="25">
        <f>C40*D34</f>
        <v>32.424245896464647</v>
      </c>
      <c r="E40" s="20"/>
      <c r="F40" s="20"/>
      <c r="G40" s="20"/>
    </row>
    <row r="41" spans="1:7" outlineLevel="2" x14ac:dyDescent="0.3">
      <c r="A41" s="35" t="s">
        <v>120</v>
      </c>
      <c r="B41" s="33" t="s">
        <v>121</v>
      </c>
      <c r="C41" s="162">
        <v>0</v>
      </c>
      <c r="D41" s="122">
        <f>-D40*(1/3)*(C41)</f>
        <v>0</v>
      </c>
      <c r="E41" s="20"/>
      <c r="F41" s="20"/>
      <c r="G41" s="20"/>
    </row>
    <row r="42" spans="1:7" outlineLevel="1" x14ac:dyDescent="0.3">
      <c r="A42" s="292" t="s">
        <v>14</v>
      </c>
      <c r="B42" s="293"/>
      <c r="C42" s="36">
        <f>SUM(C39:C40)</f>
        <v>9.722222222222221E-2</v>
      </c>
      <c r="D42" s="37">
        <f>SUM(D39:D41)</f>
        <v>226.96972127525251</v>
      </c>
      <c r="E42" s="20"/>
      <c r="F42" s="20"/>
      <c r="G42" s="20"/>
    </row>
    <row r="43" spans="1:7" outlineLevel="1" x14ac:dyDescent="0.3">
      <c r="A43" s="289"/>
      <c r="B43" s="290"/>
      <c r="C43" s="290"/>
      <c r="D43" s="291"/>
      <c r="E43" s="20"/>
      <c r="F43" s="20"/>
      <c r="G43" s="20"/>
    </row>
    <row r="44" spans="1:7" outlineLevel="1" x14ac:dyDescent="0.3">
      <c r="A44" s="30" t="s">
        <v>49</v>
      </c>
      <c r="B44" s="38" t="s">
        <v>50</v>
      </c>
      <c r="C44" s="30" t="s">
        <v>47</v>
      </c>
      <c r="D44" s="39" t="s">
        <v>39</v>
      </c>
      <c r="E44" s="20"/>
      <c r="F44" s="20"/>
      <c r="G44" s="20"/>
    </row>
    <row r="45" spans="1:7" outlineLevel="2" x14ac:dyDescent="0.3">
      <c r="A45" s="159" t="s">
        <v>40</v>
      </c>
      <c r="B45" s="40" t="s">
        <v>51</v>
      </c>
      <c r="C45" s="41">
        <v>0.2</v>
      </c>
      <c r="D45" s="25">
        <f>C45*($D$34+$D$42)</f>
        <v>512.30308516414141</v>
      </c>
      <c r="E45" s="20"/>
      <c r="F45" s="20"/>
      <c r="G45" s="20"/>
    </row>
    <row r="46" spans="1:7" outlineLevel="2" x14ac:dyDescent="0.3">
      <c r="A46" s="159" t="s">
        <v>19</v>
      </c>
      <c r="B46" s="40" t="s">
        <v>52</v>
      </c>
      <c r="C46" s="41">
        <v>2.5000000000000001E-2</v>
      </c>
      <c r="D46" s="25">
        <f t="shared" ref="D46:D52" si="0">C46*($D$34+$D$42)</f>
        <v>64.037885645517676</v>
      </c>
      <c r="E46" s="20"/>
      <c r="F46" s="20"/>
      <c r="G46" s="20"/>
    </row>
    <row r="47" spans="1:7" outlineLevel="2" x14ac:dyDescent="0.3">
      <c r="A47" s="159" t="s">
        <v>20</v>
      </c>
      <c r="B47" s="40" t="s">
        <v>114</v>
      </c>
      <c r="C47" s="161">
        <v>0.03</v>
      </c>
      <c r="D47" s="25">
        <f t="shared" si="0"/>
        <v>76.845462774621211</v>
      </c>
      <c r="E47" s="20"/>
      <c r="F47" s="20"/>
      <c r="G47" s="20"/>
    </row>
    <row r="48" spans="1:7" outlineLevel="2" x14ac:dyDescent="0.3">
      <c r="A48" s="159" t="s">
        <v>22</v>
      </c>
      <c r="B48" s="40" t="s">
        <v>232</v>
      </c>
      <c r="C48" s="41">
        <v>1.4999999999999999E-2</v>
      </c>
      <c r="D48" s="25">
        <f t="shared" si="0"/>
        <v>38.422731387310606</v>
      </c>
      <c r="E48" s="20"/>
      <c r="F48" s="20"/>
      <c r="G48" s="20"/>
    </row>
    <row r="49" spans="1:7" outlineLevel="2" x14ac:dyDescent="0.3">
      <c r="A49" s="159" t="s">
        <v>25</v>
      </c>
      <c r="B49" s="40" t="s">
        <v>233</v>
      </c>
      <c r="C49" s="41">
        <v>0.01</v>
      </c>
      <c r="D49" s="25">
        <f>C49*($D$34+$D$42)</f>
        <v>25.61515425820707</v>
      </c>
      <c r="E49" s="20"/>
      <c r="F49" s="20"/>
      <c r="G49" s="20"/>
    </row>
    <row r="50" spans="1:7" outlineLevel="2" x14ac:dyDescent="0.3">
      <c r="A50" s="159" t="s">
        <v>27</v>
      </c>
      <c r="B50" s="40" t="s">
        <v>53</v>
      </c>
      <c r="C50" s="41">
        <v>6.0000000000000001E-3</v>
      </c>
      <c r="D50" s="25">
        <f>C50*($D$34+$D$42)</f>
        <v>15.369092554924244</v>
      </c>
      <c r="E50" s="20"/>
      <c r="F50" s="20"/>
      <c r="G50" s="20"/>
    </row>
    <row r="51" spans="1:7" outlineLevel="2" x14ac:dyDescent="0.3">
      <c r="A51" s="159" t="s">
        <v>29</v>
      </c>
      <c r="B51" s="40" t="s">
        <v>54</v>
      </c>
      <c r="C51" s="41">
        <v>2E-3</v>
      </c>
      <c r="D51" s="25">
        <f t="shared" si="0"/>
        <v>5.1230308516414143</v>
      </c>
      <c r="E51" s="20"/>
      <c r="F51" s="20"/>
      <c r="G51" s="20"/>
    </row>
    <row r="52" spans="1:7" outlineLevel="2" x14ac:dyDescent="0.3">
      <c r="A52" s="159" t="s">
        <v>55</v>
      </c>
      <c r="B52" s="40" t="s">
        <v>56</v>
      </c>
      <c r="C52" s="41">
        <v>0.08</v>
      </c>
      <c r="D52" s="25">
        <f t="shared" si="0"/>
        <v>204.92123406565656</v>
      </c>
      <c r="E52" s="20"/>
      <c r="F52" s="20"/>
      <c r="G52" s="20"/>
    </row>
    <row r="53" spans="1:7" outlineLevel="1" x14ac:dyDescent="0.3">
      <c r="A53" s="292" t="s">
        <v>14</v>
      </c>
      <c r="B53" s="293"/>
      <c r="C53" s="42">
        <f>SUM(C45:C52)</f>
        <v>0.36800000000000005</v>
      </c>
      <c r="D53" s="43">
        <f>SUM(D45:D52)</f>
        <v>942.63767670202014</v>
      </c>
      <c r="E53" s="20"/>
      <c r="F53" s="20"/>
      <c r="G53" s="20"/>
    </row>
    <row r="54" spans="1:7" outlineLevel="1" x14ac:dyDescent="0.3">
      <c r="A54" s="289"/>
      <c r="B54" s="290"/>
      <c r="C54" s="290"/>
      <c r="D54" s="291"/>
      <c r="E54" s="20"/>
      <c r="F54" s="20"/>
      <c r="G54" s="20"/>
    </row>
    <row r="55" spans="1:7" outlineLevel="1" x14ac:dyDescent="0.3">
      <c r="A55" s="30" t="s">
        <v>57</v>
      </c>
      <c r="B55" s="38" t="s">
        <v>58</v>
      </c>
      <c r="C55" s="30" t="s">
        <v>59</v>
      </c>
      <c r="D55" s="30" t="s">
        <v>39</v>
      </c>
      <c r="E55" s="20"/>
      <c r="F55" s="20"/>
      <c r="G55" s="20"/>
    </row>
    <row r="56" spans="1:7" outlineLevel="2" x14ac:dyDescent="0.3">
      <c r="A56" s="159" t="s">
        <v>40</v>
      </c>
      <c r="B56" s="40" t="s">
        <v>60</v>
      </c>
      <c r="C56" s="44">
        <v>4.38</v>
      </c>
      <c r="D56" s="45">
        <f>(15*2*C56)-(D27*6%)</f>
        <v>31.510200000000012</v>
      </c>
      <c r="E56" s="82"/>
      <c r="F56" s="20"/>
      <c r="G56" s="20"/>
    </row>
    <row r="57" spans="1:7" outlineLevel="2" x14ac:dyDescent="0.3">
      <c r="A57" s="159" t="s">
        <v>19</v>
      </c>
      <c r="B57" s="40" t="s">
        <v>61</v>
      </c>
      <c r="C57" s="83">
        <v>27.6</v>
      </c>
      <c r="D57" s="45">
        <f>C57*15</f>
        <v>414</v>
      </c>
      <c r="E57" s="20"/>
      <c r="F57" s="20"/>
      <c r="G57" s="20"/>
    </row>
    <row r="58" spans="1:7" outlineLevel="2" x14ac:dyDescent="0.3">
      <c r="A58" s="73" t="s">
        <v>97</v>
      </c>
      <c r="B58" s="40" t="s">
        <v>98</v>
      </c>
      <c r="C58" s="84">
        <v>-0.2</v>
      </c>
      <c r="D58" s="122">
        <f>D57*C58</f>
        <v>-82.800000000000011</v>
      </c>
      <c r="E58" s="20"/>
      <c r="F58" s="20"/>
      <c r="G58" s="20"/>
    </row>
    <row r="59" spans="1:7" outlineLevel="2" x14ac:dyDescent="0.3">
      <c r="A59" s="159" t="s">
        <v>20</v>
      </c>
      <c r="B59" s="176" t="s">
        <v>229</v>
      </c>
      <c r="C59" s="169">
        <v>6.0000000000000001E-3</v>
      </c>
      <c r="D59" s="177">
        <f>C59*D27</f>
        <v>9.9889799999999997</v>
      </c>
      <c r="E59" s="20"/>
      <c r="F59" s="20"/>
      <c r="G59" s="20"/>
    </row>
    <row r="60" spans="1:7" outlineLevel="2" x14ac:dyDescent="0.3">
      <c r="A60" s="159" t="s">
        <v>22</v>
      </c>
      <c r="B60" s="178" t="s">
        <v>228</v>
      </c>
      <c r="C60" s="168">
        <v>14</v>
      </c>
      <c r="D60" s="177">
        <f>C60</f>
        <v>14</v>
      </c>
      <c r="E60" s="20"/>
      <c r="F60" s="20"/>
      <c r="G60" s="20"/>
    </row>
    <row r="61" spans="1:7" outlineLevel="2" x14ac:dyDescent="0.3">
      <c r="A61" s="159" t="s">
        <v>25</v>
      </c>
      <c r="B61" s="176" t="s">
        <v>167</v>
      </c>
      <c r="C61" s="169">
        <v>7.0000000000000007E-2</v>
      </c>
      <c r="D61" s="177">
        <f>C61*D34</f>
        <v>163.41819931818185</v>
      </c>
      <c r="E61" s="20"/>
      <c r="F61" s="20"/>
      <c r="G61" s="20"/>
    </row>
    <row r="62" spans="1:7" outlineLevel="2" x14ac:dyDescent="0.3">
      <c r="A62" s="159" t="s">
        <v>27</v>
      </c>
      <c r="B62" s="176" t="s">
        <v>42</v>
      </c>
      <c r="C62" s="84"/>
      <c r="D62" s="177"/>
      <c r="E62" s="20"/>
      <c r="F62" s="20"/>
      <c r="G62" s="20"/>
    </row>
    <row r="63" spans="1:7" outlineLevel="2" x14ac:dyDescent="0.3">
      <c r="A63" s="159" t="s">
        <v>29</v>
      </c>
      <c r="B63" s="176" t="s">
        <v>42</v>
      </c>
      <c r="C63" s="83"/>
      <c r="D63" s="179">
        <f>C63</f>
        <v>0</v>
      </c>
      <c r="E63" s="20"/>
      <c r="F63" s="20"/>
      <c r="G63" s="20"/>
    </row>
    <row r="64" spans="1:7" outlineLevel="1" x14ac:dyDescent="0.3">
      <c r="A64" s="292" t="s">
        <v>62</v>
      </c>
      <c r="B64" s="294"/>
      <c r="C64" s="293"/>
      <c r="D64" s="37">
        <f>SUM(D56:D63)</f>
        <v>550.11737931818186</v>
      </c>
      <c r="E64" s="20"/>
      <c r="F64" s="20"/>
      <c r="G64" s="20"/>
    </row>
    <row r="65" spans="1:7" outlineLevel="1" x14ac:dyDescent="0.3">
      <c r="A65" s="289"/>
      <c r="B65" s="290"/>
      <c r="C65" s="290"/>
      <c r="D65" s="291"/>
      <c r="E65" s="20"/>
      <c r="F65" s="20"/>
      <c r="G65" s="20"/>
    </row>
    <row r="66" spans="1:7" outlineLevel="1" x14ac:dyDescent="0.3">
      <c r="A66" s="295" t="s">
        <v>63</v>
      </c>
      <c r="B66" s="296"/>
      <c r="C66" s="30" t="s">
        <v>47</v>
      </c>
      <c r="D66" s="30" t="s">
        <v>39</v>
      </c>
      <c r="E66" s="20"/>
      <c r="F66" s="20"/>
      <c r="G66" s="20"/>
    </row>
    <row r="67" spans="1:7" outlineLevel="1" x14ac:dyDescent="0.3">
      <c r="A67" s="159" t="s">
        <v>64</v>
      </c>
      <c r="B67" s="40" t="s">
        <v>46</v>
      </c>
      <c r="C67" s="46">
        <f>C42</f>
        <v>9.722222222222221E-2</v>
      </c>
      <c r="D67" s="25">
        <f>D42</f>
        <v>226.96972127525251</v>
      </c>
      <c r="E67" s="20"/>
      <c r="F67" s="20"/>
      <c r="G67" s="20"/>
    </row>
    <row r="68" spans="1:7" outlineLevel="1" x14ac:dyDescent="0.3">
      <c r="A68" s="159" t="s">
        <v>49</v>
      </c>
      <c r="B68" s="40" t="s">
        <v>50</v>
      </c>
      <c r="C68" s="46">
        <f>C53</f>
        <v>0.36800000000000005</v>
      </c>
      <c r="D68" s="25">
        <f>D53</f>
        <v>942.63767670202014</v>
      </c>
      <c r="E68" s="20"/>
      <c r="F68" s="20"/>
      <c r="G68" s="20"/>
    </row>
    <row r="69" spans="1:7" outlineLevel="1" x14ac:dyDescent="0.3">
      <c r="A69" s="159" t="s">
        <v>65</v>
      </c>
      <c r="B69" s="40" t="s">
        <v>58</v>
      </c>
      <c r="C69" s="46">
        <f>D64/D34</f>
        <v>0.23564215438022101</v>
      </c>
      <c r="D69" s="25">
        <f>D64</f>
        <v>550.11737931818186</v>
      </c>
      <c r="E69" s="20"/>
      <c r="F69" s="20"/>
      <c r="G69" s="20"/>
    </row>
    <row r="70" spans="1:7" x14ac:dyDescent="0.3">
      <c r="A70" s="292" t="s">
        <v>14</v>
      </c>
      <c r="B70" s="294"/>
      <c r="C70" s="293"/>
      <c r="D70" s="37">
        <f>SUM(D67:D69)</f>
        <v>1719.7247772954547</v>
      </c>
      <c r="E70" s="20"/>
      <c r="F70" s="20"/>
      <c r="G70" s="20"/>
    </row>
    <row r="71" spans="1:7" x14ac:dyDescent="0.3">
      <c r="A71" s="289"/>
      <c r="B71" s="290"/>
      <c r="C71" s="290"/>
      <c r="D71" s="291"/>
      <c r="E71" s="20"/>
      <c r="F71" s="20"/>
      <c r="G71" s="20"/>
    </row>
    <row r="72" spans="1:7" x14ac:dyDescent="0.3">
      <c r="A72" s="283" t="s">
        <v>126</v>
      </c>
      <c r="B72" s="284"/>
      <c r="C72" s="284"/>
      <c r="D72" s="285"/>
      <c r="E72" s="20"/>
      <c r="F72" s="20"/>
      <c r="G72" s="20"/>
    </row>
    <row r="73" spans="1:7" outlineLevel="1" x14ac:dyDescent="0.3">
      <c r="A73" s="289"/>
      <c r="B73" s="290"/>
      <c r="C73" s="290"/>
      <c r="D73" s="291"/>
      <c r="E73" s="20"/>
      <c r="F73" s="20"/>
      <c r="G73" s="20"/>
    </row>
    <row r="74" spans="1:7" outlineLevel="1" x14ac:dyDescent="0.3">
      <c r="A74" s="157" t="s">
        <v>129</v>
      </c>
      <c r="B74" s="31" t="s">
        <v>130</v>
      </c>
      <c r="C74" s="30" t="s">
        <v>47</v>
      </c>
      <c r="D74" s="30" t="s">
        <v>39</v>
      </c>
      <c r="E74" s="20"/>
      <c r="F74" s="20"/>
      <c r="G74" s="20"/>
    </row>
    <row r="75" spans="1:7" outlineLevel="2" x14ac:dyDescent="0.3">
      <c r="A75" s="47" t="s">
        <v>40</v>
      </c>
      <c r="B75" s="48" t="s">
        <v>131</v>
      </c>
      <c r="C75" s="47" t="s">
        <v>132</v>
      </c>
      <c r="D75" s="49">
        <f>IF(C86&gt;1,SUM(D76:D79)*2,SUM(D76:D79))</f>
        <v>3289.8936856388891</v>
      </c>
      <c r="E75" s="20"/>
      <c r="F75" s="20"/>
      <c r="G75" s="20"/>
    </row>
    <row r="76" spans="1:7" outlineLevel="2" x14ac:dyDescent="0.3">
      <c r="A76" s="50" t="s">
        <v>128</v>
      </c>
      <c r="B76" s="51" t="s">
        <v>133</v>
      </c>
      <c r="C76" s="47">
        <f>(IF(C12&gt;60,45,IF(C12&gt;48,42,IF(C12&gt;36,39,IF(C12&gt;24,36,IF(C12&gt;12,33,30)))))/30)</f>
        <v>1.1000000000000001</v>
      </c>
      <c r="D76" s="49">
        <f>D34*C76</f>
        <v>2568.0002750000003</v>
      </c>
      <c r="E76" s="20"/>
      <c r="F76" s="20"/>
      <c r="G76" s="20"/>
    </row>
    <row r="77" spans="1:7" outlineLevel="2" x14ac:dyDescent="0.3">
      <c r="A77" s="50" t="s">
        <v>142</v>
      </c>
      <c r="B77" s="51" t="s">
        <v>134</v>
      </c>
      <c r="C77" s="34">
        <f>1/12</f>
        <v>8.3333333333333329E-2</v>
      </c>
      <c r="D77" s="49">
        <f>C77*D76</f>
        <v>214.00002291666669</v>
      </c>
      <c r="E77" s="20"/>
      <c r="F77" s="20"/>
      <c r="G77" s="20"/>
    </row>
    <row r="78" spans="1:7" outlineLevel="2" x14ac:dyDescent="0.3">
      <c r="A78" s="50" t="s">
        <v>143</v>
      </c>
      <c r="B78" s="51" t="s">
        <v>135</v>
      </c>
      <c r="C78" s="34">
        <f>(1/12)+(1/12/3)</f>
        <v>0.1111111111111111</v>
      </c>
      <c r="D78" s="52">
        <f>C78*D76</f>
        <v>285.33336388888893</v>
      </c>
      <c r="E78" s="20"/>
      <c r="F78" s="20"/>
      <c r="G78" s="20"/>
    </row>
    <row r="79" spans="1:7" outlineLevel="2" x14ac:dyDescent="0.3">
      <c r="A79" s="50" t="s">
        <v>144</v>
      </c>
      <c r="B79" s="51" t="s">
        <v>136</v>
      </c>
      <c r="C79" s="53">
        <v>0.08</v>
      </c>
      <c r="D79" s="49">
        <f>SUM(D76:D77)*C79</f>
        <v>222.56002383333336</v>
      </c>
      <c r="E79" s="20"/>
      <c r="F79" s="20"/>
      <c r="G79" s="20"/>
    </row>
    <row r="80" spans="1:7" outlineLevel="2" x14ac:dyDescent="0.3">
      <c r="A80" s="47" t="s">
        <v>19</v>
      </c>
      <c r="B80" s="48" t="s">
        <v>137</v>
      </c>
      <c r="C80" s="54">
        <v>0.4</v>
      </c>
      <c r="D80" s="49">
        <f>C80*D81</f>
        <v>1967.2438470303027</v>
      </c>
      <c r="E80" s="20"/>
      <c r="F80" s="20"/>
      <c r="G80" s="20"/>
    </row>
    <row r="81" spans="1:7" outlineLevel="2" x14ac:dyDescent="0.3">
      <c r="A81" s="47" t="s">
        <v>120</v>
      </c>
      <c r="B81" s="48" t="s">
        <v>138</v>
      </c>
      <c r="C81" s="54">
        <f>C52</f>
        <v>0.08</v>
      </c>
      <c r="D81" s="49">
        <f>C81*D82</f>
        <v>4918.1096175757566</v>
      </c>
      <c r="E81" s="20"/>
      <c r="F81" s="20"/>
      <c r="G81" s="20"/>
    </row>
    <row r="82" spans="1:7" outlineLevel="2" x14ac:dyDescent="0.3">
      <c r="A82" s="47" t="s">
        <v>145</v>
      </c>
      <c r="B82" s="55" t="s">
        <v>102</v>
      </c>
      <c r="C82" s="56" t="s">
        <v>132</v>
      </c>
      <c r="D82" s="52">
        <f>SUM(D83:D85)</f>
        <v>61476.370219696953</v>
      </c>
      <c r="E82" s="20"/>
      <c r="F82" s="20"/>
      <c r="G82" s="20"/>
    </row>
    <row r="83" spans="1:7" outlineLevel="2" x14ac:dyDescent="0.3">
      <c r="A83" s="50" t="s">
        <v>146</v>
      </c>
      <c r="B83" s="51" t="s">
        <v>139</v>
      </c>
      <c r="C83" s="57">
        <f>C12-C85</f>
        <v>23</v>
      </c>
      <c r="D83" s="49">
        <f>D34*C83</f>
        <v>53694.551204545452</v>
      </c>
      <c r="E83" s="20"/>
      <c r="F83" s="20"/>
      <c r="G83" s="20"/>
    </row>
    <row r="84" spans="1:7" outlineLevel="2" x14ac:dyDescent="0.3">
      <c r="A84" s="50" t="s">
        <v>147</v>
      </c>
      <c r="B84" s="51" t="s">
        <v>140</v>
      </c>
      <c r="C84" s="58">
        <f>C12/12</f>
        <v>2</v>
      </c>
      <c r="D84" s="49">
        <f>D34*C84</f>
        <v>4669.0914090909091</v>
      </c>
      <c r="E84" s="20"/>
      <c r="F84" s="20"/>
      <c r="G84" s="20"/>
    </row>
    <row r="85" spans="1:7" outlineLevel="2" x14ac:dyDescent="0.3">
      <c r="A85" s="50" t="s">
        <v>148</v>
      </c>
      <c r="B85" s="51" t="s">
        <v>141</v>
      </c>
      <c r="C85" s="56">
        <f>IF(C12&gt;60,5,IF(C12&gt;48,4,IF(C12&gt;36,3,IF(C12&gt;24,2,IF(C12&gt;12,1,0)))))</f>
        <v>1</v>
      </c>
      <c r="D85" s="52">
        <f>D34*C85*1.33333333333333</f>
        <v>3112.7276060605982</v>
      </c>
      <c r="E85" s="20"/>
      <c r="F85" s="20"/>
      <c r="G85" s="20"/>
    </row>
    <row r="86" spans="1:7" outlineLevel="1" x14ac:dyDescent="0.3">
      <c r="A86" s="292" t="s">
        <v>14</v>
      </c>
      <c r="B86" s="293"/>
      <c r="C86" s="163">
        <v>0.1</v>
      </c>
      <c r="D86" s="37">
        <f>IF(C86&gt;1,D75+D80,(D75+D80)*C86)</f>
        <v>525.7137532669193</v>
      </c>
      <c r="E86" s="20"/>
      <c r="F86" s="20"/>
      <c r="G86" s="20"/>
    </row>
    <row r="87" spans="1:7" outlineLevel="1" x14ac:dyDescent="0.3">
      <c r="A87" s="297"/>
      <c r="B87" s="298"/>
      <c r="C87" s="298"/>
      <c r="D87" s="299"/>
      <c r="E87" s="20"/>
      <c r="F87" s="20"/>
      <c r="G87" s="20"/>
    </row>
    <row r="88" spans="1:7" outlineLevel="1" x14ac:dyDescent="0.3">
      <c r="A88" s="157" t="s">
        <v>155</v>
      </c>
      <c r="B88" s="31" t="s">
        <v>154</v>
      </c>
      <c r="C88" s="30" t="s">
        <v>47</v>
      </c>
      <c r="D88" s="30" t="s">
        <v>39</v>
      </c>
      <c r="E88" s="20"/>
      <c r="F88" s="20"/>
      <c r="G88" s="20"/>
    </row>
    <row r="89" spans="1:7" outlineLevel="2" x14ac:dyDescent="0.3">
      <c r="A89" s="47" t="s">
        <v>40</v>
      </c>
      <c r="B89" s="55" t="s">
        <v>149</v>
      </c>
      <c r="C89" s="59">
        <f>IF(C98&gt;1,(1/30*7)*2,(1/30*7))</f>
        <v>0.23333333333333334</v>
      </c>
      <c r="D89" s="52">
        <f>C89*SUM(D90:D94)</f>
        <v>996.17188547946148</v>
      </c>
      <c r="E89" s="20"/>
      <c r="F89" s="20"/>
      <c r="G89" s="20"/>
    </row>
    <row r="90" spans="1:7" outlineLevel="2" x14ac:dyDescent="0.3">
      <c r="A90" s="50" t="s">
        <v>128</v>
      </c>
      <c r="B90" s="51" t="s">
        <v>150</v>
      </c>
      <c r="C90" s="47">
        <v>1</v>
      </c>
      <c r="D90" s="49">
        <f>D34</f>
        <v>2334.5457045454546</v>
      </c>
      <c r="E90" s="20"/>
      <c r="F90" s="20"/>
      <c r="G90" s="20"/>
    </row>
    <row r="91" spans="1:7" outlineLevel="2" x14ac:dyDescent="0.3">
      <c r="A91" s="50" t="s">
        <v>142</v>
      </c>
      <c r="B91" s="51" t="s">
        <v>151</v>
      </c>
      <c r="C91" s="34">
        <f>1/12</f>
        <v>8.3333333333333329E-2</v>
      </c>
      <c r="D91" s="49">
        <f>C91*D90</f>
        <v>194.54547537878787</v>
      </c>
      <c r="E91" s="20"/>
      <c r="F91" s="20"/>
      <c r="G91" s="20"/>
    </row>
    <row r="92" spans="1:7" outlineLevel="2" x14ac:dyDescent="0.3">
      <c r="A92" s="50" t="s">
        <v>143</v>
      </c>
      <c r="B92" s="51" t="s">
        <v>152</v>
      </c>
      <c r="C92" s="34">
        <f>(1/12)+(1/12/3)</f>
        <v>0.1111111111111111</v>
      </c>
      <c r="D92" s="49">
        <f>C92*D90</f>
        <v>259.39396717171718</v>
      </c>
      <c r="E92" s="20"/>
      <c r="F92" s="20"/>
      <c r="G92" s="20"/>
    </row>
    <row r="93" spans="1:7" outlineLevel="2" x14ac:dyDescent="0.3">
      <c r="A93" s="50" t="s">
        <v>144</v>
      </c>
      <c r="B93" s="60" t="s">
        <v>66</v>
      </c>
      <c r="C93" s="61">
        <f>C53</f>
        <v>0.36800000000000005</v>
      </c>
      <c r="D93" s="52">
        <f>C93*(D90+D91)</f>
        <v>930.70555421212146</v>
      </c>
      <c r="E93" s="20"/>
      <c r="F93" s="20"/>
      <c r="G93" s="20"/>
    </row>
    <row r="94" spans="1:7" outlineLevel="2" x14ac:dyDescent="0.3">
      <c r="A94" s="50" t="s">
        <v>156</v>
      </c>
      <c r="B94" s="60" t="s">
        <v>153</v>
      </c>
      <c r="C94" s="62">
        <v>1</v>
      </c>
      <c r="D94" s="52">
        <f>D64</f>
        <v>550.11737931818186</v>
      </c>
      <c r="E94" s="20"/>
      <c r="F94" s="20"/>
      <c r="G94" s="20"/>
    </row>
    <row r="95" spans="1:7" outlineLevel="2" x14ac:dyDescent="0.3">
      <c r="A95" s="47" t="s">
        <v>19</v>
      </c>
      <c r="B95" s="48" t="s">
        <v>220</v>
      </c>
      <c r="C95" s="54">
        <v>0.4</v>
      </c>
      <c r="D95" s="49">
        <f>C95*D96</f>
        <v>1967.2438470303027</v>
      </c>
      <c r="E95" s="63"/>
      <c r="F95" s="20"/>
      <c r="G95" s="20"/>
    </row>
    <row r="96" spans="1:7" outlineLevel="2" x14ac:dyDescent="0.3">
      <c r="A96" s="47" t="s">
        <v>120</v>
      </c>
      <c r="B96" s="48" t="s">
        <v>138</v>
      </c>
      <c r="C96" s="54">
        <f>C52</f>
        <v>0.08</v>
      </c>
      <c r="D96" s="49">
        <f>C96*D97</f>
        <v>4918.1096175757566</v>
      </c>
      <c r="E96" s="20"/>
      <c r="F96" s="20"/>
      <c r="G96" s="20"/>
    </row>
    <row r="97" spans="1:7" outlineLevel="2" x14ac:dyDescent="0.3">
      <c r="A97" s="47" t="s">
        <v>145</v>
      </c>
      <c r="B97" s="55" t="s">
        <v>102</v>
      </c>
      <c r="C97" s="56" t="s">
        <v>132</v>
      </c>
      <c r="D97" s="52">
        <f>D82</f>
        <v>61476.370219696953</v>
      </c>
      <c r="E97" s="20"/>
      <c r="F97" s="20"/>
      <c r="G97" s="20"/>
    </row>
    <row r="98" spans="1:7" outlineLevel="1" x14ac:dyDescent="0.3">
      <c r="A98" s="292" t="s">
        <v>14</v>
      </c>
      <c r="B98" s="293"/>
      <c r="C98" s="163">
        <v>0.9</v>
      </c>
      <c r="D98" s="37">
        <f>IF(C98&gt;1,D89+D95,(D89+D95)*C98)</f>
        <v>2667.0741592587879</v>
      </c>
      <c r="E98" s="20"/>
      <c r="F98" s="20"/>
      <c r="G98" s="20"/>
    </row>
    <row r="99" spans="1:7" outlineLevel="1" x14ac:dyDescent="0.3">
      <c r="A99" s="297"/>
      <c r="B99" s="298"/>
      <c r="C99" s="298"/>
      <c r="D99" s="299"/>
      <c r="E99" s="20"/>
      <c r="F99" s="20"/>
      <c r="G99" s="20"/>
    </row>
    <row r="100" spans="1:7" outlineLevel="1" x14ac:dyDescent="0.3">
      <c r="A100" s="157" t="s">
        <v>160</v>
      </c>
      <c r="B100" s="31" t="s">
        <v>165</v>
      </c>
      <c r="C100" s="30" t="s">
        <v>47</v>
      </c>
      <c r="D100" s="30" t="s">
        <v>39</v>
      </c>
      <c r="E100" s="20"/>
      <c r="F100" s="20"/>
      <c r="G100" s="20"/>
    </row>
    <row r="101" spans="1:7" outlineLevel="2" x14ac:dyDescent="0.3">
      <c r="A101" s="159" t="s">
        <v>40</v>
      </c>
      <c r="B101" s="40" t="s">
        <v>162</v>
      </c>
      <c r="C101" s="46">
        <f>IF(C12&gt;60,(D34/12*(C12-60))/C12/D34,IF(C12&gt;48,(D34/12*(C12-48))/C12/D34,IF(C12&gt;36,(D34/12*(C12-36))/C12/D34,IF(C12&gt;24,(D34/12*(C12-24))/C12/D34,IF(C12&gt;12,((D34/12*(C12-12))/C12/D34),1/12)))))</f>
        <v>4.1666666666666664E-2</v>
      </c>
      <c r="D101" s="64">
        <f>C101*D34</f>
        <v>97.272737689393935</v>
      </c>
      <c r="E101" s="20"/>
      <c r="F101" s="20"/>
      <c r="G101" s="20"/>
    </row>
    <row r="102" spans="1:7" outlineLevel="2" x14ac:dyDescent="0.3">
      <c r="A102" s="159" t="s">
        <v>19</v>
      </c>
      <c r="B102" s="65" t="s">
        <v>163</v>
      </c>
      <c r="C102" s="46">
        <f>C101/3</f>
        <v>1.3888888888888888E-2</v>
      </c>
      <c r="D102" s="66">
        <f>C102*D34</f>
        <v>32.424245896464647</v>
      </c>
      <c r="E102" s="20"/>
      <c r="F102" s="20"/>
      <c r="G102" s="20"/>
    </row>
    <row r="103" spans="1:7" outlineLevel="2" x14ac:dyDescent="0.3">
      <c r="A103" s="159" t="s">
        <v>20</v>
      </c>
      <c r="B103" s="67" t="s">
        <v>166</v>
      </c>
      <c r="C103" s="71">
        <f>C41</f>
        <v>0</v>
      </c>
      <c r="D103" s="25">
        <f>-D41*4</f>
        <v>0</v>
      </c>
      <c r="E103" s="20"/>
      <c r="F103" s="20"/>
      <c r="G103" s="20"/>
    </row>
    <row r="104" spans="1:7" ht="15.75" customHeight="1" outlineLevel="1" x14ac:dyDescent="0.3">
      <c r="A104" s="292" t="s">
        <v>14</v>
      </c>
      <c r="B104" s="293"/>
      <c r="C104" s="36">
        <f>C101+C102+(D103/D34)</f>
        <v>5.5555555555555552E-2</v>
      </c>
      <c r="D104" s="37">
        <f>SUM(D101:D103)</f>
        <v>129.69698358585859</v>
      </c>
      <c r="E104" s="20"/>
      <c r="F104" s="20"/>
      <c r="G104" s="20"/>
    </row>
    <row r="105" spans="1:7" outlineLevel="1" x14ac:dyDescent="0.3">
      <c r="A105" s="297"/>
      <c r="B105" s="298"/>
      <c r="C105" s="298"/>
      <c r="D105" s="299"/>
      <c r="E105" s="63"/>
      <c r="F105" s="20"/>
      <c r="G105" s="20"/>
    </row>
    <row r="106" spans="1:7" outlineLevel="1" x14ac:dyDescent="0.3">
      <c r="A106" s="295" t="s">
        <v>161</v>
      </c>
      <c r="B106" s="296"/>
      <c r="C106" s="30" t="s">
        <v>47</v>
      </c>
      <c r="D106" s="30" t="s">
        <v>39</v>
      </c>
      <c r="E106" s="63"/>
      <c r="F106" s="20"/>
      <c r="G106" s="20"/>
    </row>
    <row r="107" spans="1:7" outlineLevel="1" x14ac:dyDescent="0.3">
      <c r="A107" s="159" t="s">
        <v>129</v>
      </c>
      <c r="B107" s="40" t="s">
        <v>130</v>
      </c>
      <c r="C107" s="46">
        <f>C86</f>
        <v>0.1</v>
      </c>
      <c r="D107" s="25">
        <f>D86</f>
        <v>525.7137532669193</v>
      </c>
      <c r="E107" s="63"/>
      <c r="F107" s="20"/>
      <c r="G107" s="20"/>
    </row>
    <row r="108" spans="1:7" outlineLevel="1" x14ac:dyDescent="0.3">
      <c r="A108" s="32" t="s">
        <v>155</v>
      </c>
      <c r="B108" s="40" t="s">
        <v>154</v>
      </c>
      <c r="C108" s="68">
        <f>C98</f>
        <v>0.9</v>
      </c>
      <c r="D108" s="25">
        <f>D98</f>
        <v>2667.0741592587879</v>
      </c>
      <c r="E108" s="63"/>
      <c r="F108" s="20"/>
      <c r="G108" s="20"/>
    </row>
    <row r="109" spans="1:7" outlineLevel="1" x14ac:dyDescent="0.3">
      <c r="A109" s="300" t="s">
        <v>164</v>
      </c>
      <c r="B109" s="300"/>
      <c r="C109" s="300"/>
      <c r="D109" s="69">
        <f>D107+D108</f>
        <v>3192.7879125257073</v>
      </c>
      <c r="E109" s="63"/>
      <c r="F109" s="20"/>
      <c r="G109" s="20"/>
    </row>
    <row r="110" spans="1:7" outlineLevel="1" x14ac:dyDescent="0.3">
      <c r="A110" s="301" t="s">
        <v>195</v>
      </c>
      <c r="B110" s="302"/>
      <c r="C110" s="164">
        <v>0.71030000000000004</v>
      </c>
      <c r="D110" s="123">
        <f>C110*D109</f>
        <v>2267.8372542670099</v>
      </c>
      <c r="E110" s="63"/>
      <c r="F110" s="20"/>
      <c r="G110" s="20"/>
    </row>
    <row r="111" spans="1:7" outlineLevel="1" x14ac:dyDescent="0.3">
      <c r="A111" s="303" t="s">
        <v>194</v>
      </c>
      <c r="B111" s="304"/>
      <c r="C111" s="172">
        <f>1/C12</f>
        <v>4.1666666666666664E-2</v>
      </c>
      <c r="D111" s="132">
        <f>D110*C111</f>
        <v>94.493218927792071</v>
      </c>
      <c r="E111" s="63"/>
      <c r="F111" s="20"/>
      <c r="G111" s="20"/>
    </row>
    <row r="112" spans="1:7" outlineLevel="1" x14ac:dyDescent="0.3">
      <c r="A112" s="32" t="s">
        <v>160</v>
      </c>
      <c r="B112" s="40" t="s">
        <v>159</v>
      </c>
      <c r="C112" s="68"/>
      <c r="D112" s="122">
        <f>D104</f>
        <v>129.69698358585859</v>
      </c>
      <c r="E112" s="63"/>
      <c r="F112" s="20"/>
      <c r="G112" s="20"/>
    </row>
    <row r="113" spans="1:7" x14ac:dyDescent="0.3">
      <c r="A113" s="292" t="s">
        <v>67</v>
      </c>
      <c r="B113" s="293"/>
      <c r="C113" s="36"/>
      <c r="D113" s="70">
        <f>D111+D112</f>
        <v>224.19020251365066</v>
      </c>
      <c r="E113" s="20"/>
      <c r="F113" s="20"/>
      <c r="G113" s="20"/>
    </row>
    <row r="114" spans="1:7" x14ac:dyDescent="0.3">
      <c r="A114" s="289"/>
      <c r="B114" s="290"/>
      <c r="C114" s="290"/>
      <c r="D114" s="291"/>
      <c r="E114" s="20"/>
      <c r="F114" s="20"/>
      <c r="G114" s="20"/>
    </row>
    <row r="115" spans="1:7" x14ac:dyDescent="0.3">
      <c r="A115" s="286" t="s">
        <v>68</v>
      </c>
      <c r="B115" s="287"/>
      <c r="C115" s="287"/>
      <c r="D115" s="288"/>
      <c r="E115" s="20"/>
      <c r="F115" s="20"/>
      <c r="G115" s="20"/>
    </row>
    <row r="116" spans="1:7" outlineLevel="1" x14ac:dyDescent="0.3">
      <c r="A116" s="297"/>
      <c r="B116" s="298"/>
      <c r="C116" s="298"/>
      <c r="D116" s="299"/>
      <c r="E116" s="20"/>
      <c r="F116" s="20"/>
      <c r="G116" s="20"/>
    </row>
    <row r="117" spans="1:7" outlineLevel="1" x14ac:dyDescent="0.3">
      <c r="A117" s="30" t="s">
        <v>69</v>
      </c>
      <c r="B117" s="38" t="s">
        <v>124</v>
      </c>
      <c r="C117" s="36" t="s">
        <v>47</v>
      </c>
      <c r="D117" s="30" t="s">
        <v>39</v>
      </c>
      <c r="E117" s="20"/>
      <c r="F117" s="20"/>
      <c r="G117" s="20"/>
    </row>
    <row r="118" spans="1:7" outlineLevel="2" x14ac:dyDescent="0.3">
      <c r="A118" s="159" t="s">
        <v>40</v>
      </c>
      <c r="B118" s="40" t="s">
        <v>70</v>
      </c>
      <c r="C118" s="71">
        <f>IF(C12&gt;60,5/C12,IF(C12&gt;48,4/C12,IF(C12&gt;36,3/C12,IF(C12&gt;24,2/C12,IF(C12&gt;12,1/C12,0)))))</f>
        <v>4.1666666666666664E-2</v>
      </c>
      <c r="D118" s="64">
        <f>C118*(D34+D70+D113)</f>
        <v>178.26919518143998</v>
      </c>
      <c r="E118" s="133"/>
      <c r="F118" s="20"/>
      <c r="G118" s="72"/>
    </row>
    <row r="119" spans="1:7" outlineLevel="2" x14ac:dyDescent="0.3">
      <c r="A119" s="73" t="s">
        <v>128</v>
      </c>
      <c r="B119" s="40" t="s">
        <v>127</v>
      </c>
      <c r="C119" s="71">
        <f>C41</f>
        <v>0</v>
      </c>
      <c r="D119" s="122">
        <f>-D118*(1/3)*(C119)</f>
        <v>0</v>
      </c>
      <c r="E119" s="20"/>
      <c r="F119" s="20"/>
      <c r="G119" s="20"/>
    </row>
    <row r="120" spans="1:7" outlineLevel="1" x14ac:dyDescent="0.3">
      <c r="A120" s="292" t="s">
        <v>158</v>
      </c>
      <c r="B120" s="293"/>
      <c r="C120" s="36">
        <f>C118+(D119/D34)</f>
        <v>4.1666666666666664E-2</v>
      </c>
      <c r="D120" s="37">
        <f>SUM(D118:D119)</f>
        <v>178.26919518143998</v>
      </c>
      <c r="E120" s="20"/>
      <c r="F120" s="20"/>
      <c r="G120" s="20"/>
    </row>
    <row r="121" spans="1:7" outlineLevel="1" x14ac:dyDescent="0.3">
      <c r="A121" s="297"/>
      <c r="B121" s="298"/>
      <c r="C121" s="298"/>
      <c r="D121" s="299"/>
      <c r="E121" s="20"/>
      <c r="F121" s="20"/>
      <c r="G121" s="20"/>
    </row>
    <row r="122" spans="1:7" outlineLevel="1" x14ac:dyDescent="0.3">
      <c r="A122" s="30" t="s">
        <v>123</v>
      </c>
      <c r="B122" s="38" t="s">
        <v>125</v>
      </c>
      <c r="C122" s="36" t="s">
        <v>47</v>
      </c>
      <c r="D122" s="30" t="s">
        <v>39</v>
      </c>
      <c r="E122" s="20"/>
      <c r="F122" s="20"/>
      <c r="G122" s="20"/>
    </row>
    <row r="123" spans="1:7" outlineLevel="2" x14ac:dyDescent="0.3">
      <c r="A123" s="159" t="s">
        <v>40</v>
      </c>
      <c r="B123" s="149" t="s">
        <v>122</v>
      </c>
      <c r="C123" s="165">
        <v>1.35E-2</v>
      </c>
      <c r="D123" s="64">
        <f t="shared" ref="D123:D128" si="1">C123*($D$64+$D$113+$D$34)</f>
        <v>41.969519366093373</v>
      </c>
      <c r="E123" s="20"/>
      <c r="F123" s="20"/>
      <c r="G123" s="72"/>
    </row>
    <row r="124" spans="1:7" outlineLevel="2" x14ac:dyDescent="0.3">
      <c r="A124" s="159" t="s">
        <v>19</v>
      </c>
      <c r="B124" s="40" t="s">
        <v>104</v>
      </c>
      <c r="C124" s="180">
        <v>1.66E-2</v>
      </c>
      <c r="D124" s="64">
        <f t="shared" si="1"/>
        <v>51.606964553862966</v>
      </c>
      <c r="E124" s="20"/>
      <c r="F124" s="20"/>
      <c r="G124" s="72"/>
    </row>
    <row r="125" spans="1:7" outlineLevel="2" x14ac:dyDescent="0.3">
      <c r="A125" s="159" t="s">
        <v>20</v>
      </c>
      <c r="B125" s="40" t="s">
        <v>105</v>
      </c>
      <c r="C125" s="180">
        <v>2.7000000000000001E-3</v>
      </c>
      <c r="D125" s="64">
        <f t="shared" si="1"/>
        <v>8.3939038732186759</v>
      </c>
      <c r="E125" s="20"/>
      <c r="F125" s="20"/>
      <c r="G125" s="72"/>
    </row>
    <row r="126" spans="1:7" outlineLevel="2" x14ac:dyDescent="0.3">
      <c r="A126" s="159" t="s">
        <v>22</v>
      </c>
      <c r="B126" s="40" t="s">
        <v>103</v>
      </c>
      <c r="C126" s="180">
        <v>2.8E-3</v>
      </c>
      <c r="D126" s="64">
        <f t="shared" si="1"/>
        <v>8.7047892018564035</v>
      </c>
      <c r="E126" s="20"/>
      <c r="F126" s="20"/>
      <c r="G126" s="20"/>
    </row>
    <row r="127" spans="1:7" outlineLevel="2" x14ac:dyDescent="0.3">
      <c r="A127" s="159" t="s">
        <v>25</v>
      </c>
      <c r="B127" s="40" t="s">
        <v>71</v>
      </c>
      <c r="C127" s="180">
        <v>2.0000000000000001E-4</v>
      </c>
      <c r="D127" s="64">
        <f t="shared" si="1"/>
        <v>0.62177065727545744</v>
      </c>
      <c r="E127" s="20"/>
      <c r="F127" s="20"/>
      <c r="G127" s="20"/>
    </row>
    <row r="128" spans="1:7" outlineLevel="2" x14ac:dyDescent="0.3">
      <c r="A128" s="159" t="s">
        <v>27</v>
      </c>
      <c r="B128" s="40" t="s">
        <v>72</v>
      </c>
      <c r="C128" s="180">
        <v>2.9999999999999997E-4</v>
      </c>
      <c r="D128" s="64">
        <f t="shared" si="1"/>
        <v>0.93265598591318599</v>
      </c>
      <c r="E128" s="20"/>
      <c r="F128" s="20"/>
      <c r="G128" s="20"/>
    </row>
    <row r="129" spans="1:7" outlineLevel="1" x14ac:dyDescent="0.3">
      <c r="A129" s="292" t="s">
        <v>158</v>
      </c>
      <c r="B129" s="293"/>
      <c r="C129" s="36">
        <f>SUM(C123:C128)</f>
        <v>3.61E-2</v>
      </c>
      <c r="D129" s="37">
        <f>SUM(D123:D128)</f>
        <v>112.22960363822006</v>
      </c>
      <c r="E129" s="20"/>
      <c r="F129" s="20"/>
      <c r="G129" s="20"/>
    </row>
    <row r="130" spans="1:7" outlineLevel="1" x14ac:dyDescent="0.3">
      <c r="A130" s="297"/>
      <c r="B130" s="298"/>
      <c r="C130" s="298"/>
      <c r="D130" s="299"/>
      <c r="E130" s="20"/>
      <c r="F130" s="20"/>
      <c r="G130" s="20"/>
    </row>
    <row r="131" spans="1:7" outlineLevel="1" x14ac:dyDescent="0.3">
      <c r="A131" s="295" t="s">
        <v>157</v>
      </c>
      <c r="B131" s="296"/>
      <c r="C131" s="30" t="s">
        <v>47</v>
      </c>
      <c r="D131" s="30" t="s">
        <v>39</v>
      </c>
      <c r="E131" s="20"/>
      <c r="F131" s="20"/>
      <c r="G131" s="20"/>
    </row>
    <row r="132" spans="1:7" outlineLevel="1" x14ac:dyDescent="0.3">
      <c r="A132" s="159" t="s">
        <v>69</v>
      </c>
      <c r="B132" s="40" t="s">
        <v>124</v>
      </c>
      <c r="C132" s="46"/>
      <c r="D132" s="98">
        <f>D120</f>
        <v>178.26919518143998</v>
      </c>
      <c r="E132" s="20"/>
      <c r="F132" s="20"/>
      <c r="G132" s="20"/>
    </row>
    <row r="133" spans="1:7" outlineLevel="1" x14ac:dyDescent="0.3">
      <c r="A133" s="159" t="s">
        <v>123</v>
      </c>
      <c r="B133" s="40" t="s">
        <v>125</v>
      </c>
      <c r="C133" s="46"/>
      <c r="D133" s="98">
        <f>D129</f>
        <v>112.22960363822006</v>
      </c>
      <c r="E133" s="20"/>
      <c r="F133" s="20"/>
      <c r="G133" s="20"/>
    </row>
    <row r="134" spans="1:7" x14ac:dyDescent="0.3">
      <c r="A134" s="292" t="s">
        <v>14</v>
      </c>
      <c r="B134" s="294"/>
      <c r="C134" s="293"/>
      <c r="D134" s="99">
        <f>SUM(D132:D133)</f>
        <v>290.49879881966001</v>
      </c>
      <c r="E134" s="20"/>
      <c r="F134" s="20"/>
      <c r="G134" s="20"/>
    </row>
    <row r="135" spans="1:7" x14ac:dyDescent="0.3">
      <c r="A135" s="297"/>
      <c r="B135" s="298"/>
      <c r="C135" s="298"/>
      <c r="D135" s="299"/>
      <c r="E135" s="20"/>
      <c r="F135" s="20"/>
      <c r="G135" s="20"/>
    </row>
    <row r="136" spans="1:7" x14ac:dyDescent="0.3">
      <c r="A136" s="286" t="s">
        <v>73</v>
      </c>
      <c r="B136" s="287"/>
      <c r="C136" s="287"/>
      <c r="D136" s="288"/>
      <c r="E136" s="20"/>
      <c r="F136" s="20"/>
      <c r="G136" s="20"/>
    </row>
    <row r="137" spans="1:7" outlineLevel="1" x14ac:dyDescent="0.3">
      <c r="A137" s="297"/>
      <c r="B137" s="298"/>
      <c r="C137" s="298"/>
      <c r="D137" s="299"/>
      <c r="E137" s="20"/>
      <c r="F137" s="20"/>
      <c r="G137" s="20"/>
    </row>
    <row r="138" spans="1:7" outlineLevel="1" x14ac:dyDescent="0.3">
      <c r="A138" s="157">
        <v>5</v>
      </c>
      <c r="B138" s="292" t="s">
        <v>248</v>
      </c>
      <c r="C138" s="293"/>
      <c r="D138" s="30" t="s">
        <v>39</v>
      </c>
      <c r="E138" s="20"/>
      <c r="F138" s="20"/>
      <c r="G138" s="20"/>
    </row>
    <row r="139" spans="1:7" outlineLevel="1" x14ac:dyDescent="0.3">
      <c r="A139" s="159" t="s">
        <v>40</v>
      </c>
      <c r="B139" s="308" t="s">
        <v>249</v>
      </c>
      <c r="C139" s="309"/>
      <c r="D139" s="95">
        <f>INSUMOS!H17</f>
        <v>53.838916666666663</v>
      </c>
      <c r="E139" s="20"/>
      <c r="F139" s="20"/>
      <c r="G139" s="20"/>
    </row>
    <row r="140" spans="1:7" outlineLevel="1" x14ac:dyDescent="0.3">
      <c r="A140" s="159" t="s">
        <v>19</v>
      </c>
      <c r="B140" s="308" t="s">
        <v>269</v>
      </c>
      <c r="C140" s="309"/>
      <c r="D140" s="74">
        <f>INSUMOS!H39</f>
        <v>23.641805555555553</v>
      </c>
      <c r="E140" s="20"/>
      <c r="F140" s="20"/>
      <c r="G140" s="20"/>
    </row>
    <row r="141" spans="1:7" outlineLevel="1" x14ac:dyDescent="0.3">
      <c r="A141" s="159" t="s">
        <v>20</v>
      </c>
      <c r="B141" s="310" t="s">
        <v>268</v>
      </c>
      <c r="C141" s="311"/>
      <c r="D141" s="181">
        <f>INSUMOS!H48</f>
        <v>25</v>
      </c>
      <c r="E141" s="20"/>
      <c r="F141" s="20"/>
      <c r="G141" s="20"/>
    </row>
    <row r="142" spans="1:7" outlineLevel="1" x14ac:dyDescent="0.3">
      <c r="A142" s="159" t="s">
        <v>25</v>
      </c>
      <c r="B142" s="312" t="s">
        <v>42</v>
      </c>
      <c r="C142" s="313"/>
      <c r="D142" s="96">
        <v>0</v>
      </c>
      <c r="E142" s="20"/>
      <c r="F142" s="20"/>
      <c r="G142" s="20"/>
    </row>
    <row r="143" spans="1:7" x14ac:dyDescent="0.3">
      <c r="A143" s="292" t="s">
        <v>74</v>
      </c>
      <c r="B143" s="294"/>
      <c r="C143" s="293"/>
      <c r="D143" s="97">
        <f>SUM(D139:D142)</f>
        <v>102.48072222222221</v>
      </c>
      <c r="E143" s="20"/>
      <c r="F143" s="20"/>
      <c r="G143" s="20"/>
    </row>
    <row r="144" spans="1:7" x14ac:dyDescent="0.3">
      <c r="A144" s="289"/>
      <c r="B144" s="290"/>
      <c r="C144" s="290"/>
      <c r="D144" s="291"/>
      <c r="E144" s="20"/>
      <c r="F144" s="20"/>
      <c r="G144" s="20"/>
    </row>
    <row r="145" spans="1:7" x14ac:dyDescent="0.3">
      <c r="A145" s="314" t="s">
        <v>75</v>
      </c>
      <c r="B145" s="314"/>
      <c r="C145" s="314"/>
      <c r="D145" s="160">
        <f>D34+D70+D113+D134+D143</f>
        <v>4671.4402053964423</v>
      </c>
      <c r="E145" s="20"/>
      <c r="F145" s="20"/>
      <c r="G145" s="20"/>
    </row>
    <row r="146" spans="1:7" x14ac:dyDescent="0.3">
      <c r="A146" s="271"/>
      <c r="B146" s="271"/>
      <c r="C146" s="271"/>
      <c r="D146" s="271"/>
      <c r="E146" s="20"/>
      <c r="F146" s="20"/>
      <c r="G146" s="20"/>
    </row>
    <row r="147" spans="1:7" x14ac:dyDescent="0.3">
      <c r="A147" s="315" t="s">
        <v>76</v>
      </c>
      <c r="B147" s="315"/>
      <c r="C147" s="315"/>
      <c r="D147" s="315"/>
      <c r="E147" s="20"/>
      <c r="F147" s="20"/>
      <c r="G147" s="20"/>
    </row>
    <row r="148" spans="1:7" outlineLevel="1" x14ac:dyDescent="0.3">
      <c r="A148" s="316"/>
      <c r="B148" s="317"/>
      <c r="C148" s="317"/>
      <c r="D148" s="318"/>
      <c r="E148" s="20"/>
      <c r="F148" s="20"/>
      <c r="G148" s="20"/>
    </row>
    <row r="149" spans="1:7" outlineLevel="1" x14ac:dyDescent="0.3">
      <c r="A149" s="157">
        <v>6</v>
      </c>
      <c r="B149" s="38" t="s">
        <v>77</v>
      </c>
      <c r="C149" s="30" t="s">
        <v>47</v>
      </c>
      <c r="D149" s="30" t="s">
        <v>39</v>
      </c>
      <c r="E149" s="20"/>
      <c r="F149" s="20"/>
      <c r="G149" s="20"/>
    </row>
    <row r="150" spans="1:7" outlineLevel="1" x14ac:dyDescent="0.3">
      <c r="A150" s="159" t="s">
        <v>40</v>
      </c>
      <c r="B150" s="40" t="s">
        <v>78</v>
      </c>
      <c r="C150" s="166">
        <v>5.6599999999999998E-2</v>
      </c>
      <c r="D150" s="28">
        <f>C150*D145</f>
        <v>264.40351562543862</v>
      </c>
      <c r="E150" s="20"/>
      <c r="F150" s="20"/>
      <c r="G150" s="20"/>
    </row>
    <row r="151" spans="1:7" outlineLevel="1" x14ac:dyDescent="0.3">
      <c r="A151" s="305" t="s">
        <v>4</v>
      </c>
      <c r="B151" s="306"/>
      <c r="C151" s="307"/>
      <c r="D151" s="28">
        <f>D145+D150</f>
        <v>4935.8437210218808</v>
      </c>
      <c r="E151" s="20"/>
      <c r="F151" s="20"/>
      <c r="G151" s="20"/>
    </row>
    <row r="152" spans="1:7" outlineLevel="1" x14ac:dyDescent="0.3">
      <c r="A152" s="159" t="s">
        <v>19</v>
      </c>
      <c r="B152" s="40" t="s">
        <v>79</v>
      </c>
      <c r="C152" s="166">
        <v>5.62E-2</v>
      </c>
      <c r="D152" s="28">
        <f>C152*D151</f>
        <v>277.39441712142968</v>
      </c>
      <c r="E152" s="20"/>
      <c r="F152" s="20"/>
      <c r="G152" s="20"/>
    </row>
    <row r="153" spans="1:7" outlineLevel="1" x14ac:dyDescent="0.3">
      <c r="A153" s="305" t="s">
        <v>4</v>
      </c>
      <c r="B153" s="306"/>
      <c r="C153" s="306"/>
      <c r="D153" s="28">
        <f>D152+D151</f>
        <v>5213.2381381433106</v>
      </c>
      <c r="E153" s="20"/>
      <c r="F153" s="20"/>
      <c r="G153" s="20"/>
    </row>
    <row r="154" spans="1:7" outlineLevel="1" x14ac:dyDescent="0.3">
      <c r="A154" s="159" t="s">
        <v>20</v>
      </c>
      <c r="B154" s="310" t="s">
        <v>80</v>
      </c>
      <c r="C154" s="319"/>
      <c r="D154" s="311"/>
      <c r="E154" s="20"/>
      <c r="F154" s="20"/>
      <c r="G154" s="20"/>
    </row>
    <row r="155" spans="1:7" outlineLevel="1" x14ac:dyDescent="0.3">
      <c r="A155" s="88"/>
      <c r="B155" s="158" t="s">
        <v>81</v>
      </c>
      <c r="C155" s="166">
        <v>6.4999999999999997E-3</v>
      </c>
      <c r="D155" s="28">
        <f>(D153/(1-C158)*C155)</f>
        <v>36.106604046810354</v>
      </c>
      <c r="E155" s="20"/>
      <c r="F155" s="20"/>
      <c r="G155" s="20"/>
    </row>
    <row r="156" spans="1:7" outlineLevel="1" x14ac:dyDescent="0.3">
      <c r="A156" s="88"/>
      <c r="B156" s="158" t="s">
        <v>82</v>
      </c>
      <c r="C156" s="166">
        <v>0.03</v>
      </c>
      <c r="D156" s="28">
        <f>(D153/(1-C158)*C156)</f>
        <v>166.64586483143239</v>
      </c>
      <c r="E156" s="20"/>
      <c r="F156" s="20"/>
      <c r="G156" s="20"/>
    </row>
    <row r="157" spans="1:7" outlineLevel="1" x14ac:dyDescent="0.3">
      <c r="A157" s="88"/>
      <c r="B157" s="158" t="s">
        <v>238</v>
      </c>
      <c r="C157" s="75">
        <v>2.5000000000000001E-2</v>
      </c>
      <c r="D157" s="28">
        <f>(D153/(1-C158)*C157)</f>
        <v>138.87155402619368</v>
      </c>
      <c r="E157" s="20"/>
      <c r="F157" s="20"/>
      <c r="G157" s="20"/>
    </row>
    <row r="158" spans="1:7" outlineLevel="1" x14ac:dyDescent="0.3">
      <c r="A158" s="305" t="s">
        <v>83</v>
      </c>
      <c r="B158" s="307"/>
      <c r="C158" s="76">
        <f>SUM(C155:C157)</f>
        <v>6.1499999999999999E-2</v>
      </c>
      <c r="D158" s="28">
        <f>SUM(D155:D157)</f>
        <v>341.6240229044364</v>
      </c>
      <c r="E158" s="20"/>
      <c r="F158" s="20"/>
      <c r="G158" s="20"/>
    </row>
    <row r="159" spans="1:7" x14ac:dyDescent="0.3">
      <c r="A159" s="292" t="s">
        <v>84</v>
      </c>
      <c r="B159" s="293"/>
      <c r="C159" s="77">
        <f>SUM(C150+C152+C158)</f>
        <v>0.17430000000000001</v>
      </c>
      <c r="D159" s="29">
        <f>SUM(D158+D150+D152)</f>
        <v>883.42195565130476</v>
      </c>
      <c r="E159" s="20"/>
      <c r="F159" s="20"/>
      <c r="G159" s="20"/>
    </row>
    <row r="160" spans="1:7" x14ac:dyDescent="0.3">
      <c r="A160" s="289"/>
      <c r="B160" s="290"/>
      <c r="C160" s="290"/>
      <c r="D160" s="291"/>
      <c r="E160" s="20"/>
      <c r="F160" s="20"/>
      <c r="G160" s="20"/>
    </row>
    <row r="161" spans="1:7" x14ac:dyDescent="0.3">
      <c r="A161" s="280" t="s">
        <v>85</v>
      </c>
      <c r="B161" s="282"/>
      <c r="C161" s="281"/>
      <c r="D161" s="78" t="s">
        <v>39</v>
      </c>
      <c r="E161" s="20"/>
      <c r="F161" s="20"/>
      <c r="G161" s="20"/>
    </row>
    <row r="162" spans="1:7" x14ac:dyDescent="0.3">
      <c r="A162" s="275" t="s">
        <v>86</v>
      </c>
      <c r="B162" s="320"/>
      <c r="C162" s="320"/>
      <c r="D162" s="276"/>
      <c r="E162" s="20"/>
      <c r="F162" s="20"/>
      <c r="G162" s="20"/>
    </row>
    <row r="163" spans="1:7" x14ac:dyDescent="0.3">
      <c r="A163" s="156" t="s">
        <v>40</v>
      </c>
      <c r="B163" s="275" t="s">
        <v>87</v>
      </c>
      <c r="C163" s="276"/>
      <c r="D163" s="25">
        <f>D34</f>
        <v>2334.5457045454546</v>
      </c>
      <c r="E163" s="20"/>
      <c r="F163" s="20"/>
      <c r="G163" s="20"/>
    </row>
    <row r="164" spans="1:7" x14ac:dyDescent="0.3">
      <c r="A164" s="156" t="s">
        <v>19</v>
      </c>
      <c r="B164" s="275" t="s">
        <v>88</v>
      </c>
      <c r="C164" s="276"/>
      <c r="D164" s="25">
        <f>D70</f>
        <v>1719.7247772954547</v>
      </c>
      <c r="E164" s="20"/>
      <c r="F164" s="20"/>
      <c r="G164" s="20"/>
    </row>
    <row r="165" spans="1:7" x14ac:dyDescent="0.3">
      <c r="A165" s="156" t="s">
        <v>20</v>
      </c>
      <c r="B165" s="275" t="s">
        <v>89</v>
      </c>
      <c r="C165" s="276"/>
      <c r="D165" s="25">
        <f>D113</f>
        <v>224.19020251365066</v>
      </c>
      <c r="E165" s="20"/>
      <c r="F165" s="20"/>
      <c r="G165" s="20"/>
    </row>
    <row r="166" spans="1:7" x14ac:dyDescent="0.3">
      <c r="A166" s="156" t="s">
        <v>22</v>
      </c>
      <c r="B166" s="275" t="s">
        <v>90</v>
      </c>
      <c r="C166" s="276"/>
      <c r="D166" s="25">
        <f>D134</f>
        <v>290.49879881966001</v>
      </c>
      <c r="E166" s="20"/>
      <c r="F166" s="20"/>
      <c r="G166" s="20"/>
    </row>
    <row r="167" spans="1:7" x14ac:dyDescent="0.3">
      <c r="A167" s="156" t="s">
        <v>25</v>
      </c>
      <c r="B167" s="275" t="s">
        <v>91</v>
      </c>
      <c r="C167" s="276"/>
      <c r="D167" s="25">
        <f>D143</f>
        <v>102.48072222222221</v>
      </c>
      <c r="E167" s="20"/>
      <c r="F167" s="20"/>
      <c r="G167" s="20"/>
    </row>
    <row r="168" spans="1:7" x14ac:dyDescent="0.3">
      <c r="A168" s="321" t="s">
        <v>92</v>
      </c>
      <c r="B168" s="322"/>
      <c r="C168" s="323"/>
      <c r="D168" s="25">
        <f>SUM(D163:D167)</f>
        <v>4671.4402053964423</v>
      </c>
      <c r="E168" s="20"/>
      <c r="F168" s="20"/>
      <c r="G168" s="20"/>
    </row>
    <row r="169" spans="1:7" x14ac:dyDescent="0.3">
      <c r="A169" s="156" t="s">
        <v>93</v>
      </c>
      <c r="B169" s="275" t="s">
        <v>94</v>
      </c>
      <c r="C169" s="276"/>
      <c r="D169" s="25">
        <f>D159</f>
        <v>883.42195565130476</v>
      </c>
      <c r="E169" s="20"/>
      <c r="F169" s="20"/>
      <c r="G169" s="20"/>
    </row>
    <row r="170" spans="1:7" x14ac:dyDescent="0.3">
      <c r="A170" s="280" t="s">
        <v>95</v>
      </c>
      <c r="B170" s="282"/>
      <c r="C170" s="281"/>
      <c r="D170" s="124">
        <f xml:space="preserve"> D168+D169</f>
        <v>5554.8621610477467</v>
      </c>
      <c r="E170" s="20"/>
      <c r="F170" s="20"/>
      <c r="G170" s="20"/>
    </row>
    <row r="171" spans="1:7" x14ac:dyDescent="0.3">
      <c r="A171" s="20"/>
      <c r="B171" s="20"/>
      <c r="C171" s="20"/>
      <c r="D171" s="20"/>
      <c r="E171" s="20"/>
      <c r="F171" s="20"/>
      <c r="G171" s="20"/>
    </row>
    <row r="172" spans="1:7" x14ac:dyDescent="0.3">
      <c r="A172" s="324" t="s">
        <v>3</v>
      </c>
      <c r="B172" s="325"/>
      <c r="C172" s="326"/>
      <c r="D172" s="79" t="s">
        <v>2</v>
      </c>
      <c r="E172" s="20"/>
      <c r="F172" s="20"/>
      <c r="G172" s="20"/>
    </row>
    <row r="173" spans="1:7" x14ac:dyDescent="0.3">
      <c r="A173" s="327" t="s">
        <v>113</v>
      </c>
      <c r="B173" s="328"/>
      <c r="C173" s="329"/>
      <c r="D173" s="80">
        <f>C17</f>
        <v>2</v>
      </c>
      <c r="E173" s="20"/>
      <c r="F173" s="20"/>
      <c r="G173" s="20"/>
    </row>
    <row r="174" spans="1:7" x14ac:dyDescent="0.3">
      <c r="A174" s="327" t="s">
        <v>0</v>
      </c>
      <c r="B174" s="328"/>
      <c r="C174" s="329"/>
      <c r="D174" s="90">
        <f>D173*D170</f>
        <v>11109.724322095493</v>
      </c>
      <c r="E174" s="20"/>
      <c r="F174" s="20"/>
      <c r="G174" s="20"/>
    </row>
    <row r="175" spans="1:7" x14ac:dyDescent="0.3">
      <c r="A175" s="20"/>
      <c r="B175" s="20"/>
      <c r="C175" s="20"/>
      <c r="D175" s="20"/>
      <c r="E175" s="20"/>
      <c r="F175" s="20"/>
      <c r="G175" s="20"/>
    </row>
    <row r="176" spans="1:7" x14ac:dyDescent="0.3">
      <c r="A176" s="20"/>
      <c r="B176" s="20"/>
      <c r="C176" s="20"/>
      <c r="D176" s="20"/>
      <c r="E176" s="20"/>
      <c r="F176" s="20"/>
      <c r="G176" s="20"/>
    </row>
  </sheetData>
  <mergeCells count="96">
    <mergeCell ref="C10:D10"/>
    <mergeCell ref="A1:D1"/>
    <mergeCell ref="A2:B2"/>
    <mergeCell ref="C2:D2"/>
    <mergeCell ref="A3:B3"/>
    <mergeCell ref="C3:D3"/>
    <mergeCell ref="A4:D4"/>
    <mergeCell ref="A5:D5"/>
    <mergeCell ref="C6:D6"/>
    <mergeCell ref="C7:D7"/>
    <mergeCell ref="C8:D8"/>
    <mergeCell ref="C9:D9"/>
    <mergeCell ref="B22:C22"/>
    <mergeCell ref="C11:D11"/>
    <mergeCell ref="C12:D12"/>
    <mergeCell ref="A13:D13"/>
    <mergeCell ref="A14:D14"/>
    <mergeCell ref="A15:D15"/>
    <mergeCell ref="C16:D16"/>
    <mergeCell ref="C17:D17"/>
    <mergeCell ref="C18:D18"/>
    <mergeCell ref="A19:D19"/>
    <mergeCell ref="B20:C20"/>
    <mergeCell ref="B21:C21"/>
    <mergeCell ref="A54:D54"/>
    <mergeCell ref="A23:D23"/>
    <mergeCell ref="A24:D24"/>
    <mergeCell ref="A25:D25"/>
    <mergeCell ref="B26:C26"/>
    <mergeCell ref="A34:C34"/>
    <mergeCell ref="A35:D35"/>
    <mergeCell ref="A36:D36"/>
    <mergeCell ref="A37:D37"/>
    <mergeCell ref="A42:B42"/>
    <mergeCell ref="A43:D43"/>
    <mergeCell ref="A53:B53"/>
    <mergeCell ref="A104:B104"/>
    <mergeCell ref="A64:C64"/>
    <mergeCell ref="A65:D65"/>
    <mergeCell ref="A66:B66"/>
    <mergeCell ref="A70:C70"/>
    <mergeCell ref="A71:D71"/>
    <mergeCell ref="A72:D72"/>
    <mergeCell ref="A73:D73"/>
    <mergeCell ref="A86:B86"/>
    <mergeCell ref="A87:D87"/>
    <mergeCell ref="A98:B98"/>
    <mergeCell ref="A99:D99"/>
    <mergeCell ref="A129:B129"/>
    <mergeCell ref="A105:D105"/>
    <mergeCell ref="A106:B106"/>
    <mergeCell ref="A109:C109"/>
    <mergeCell ref="A110:B110"/>
    <mergeCell ref="A111:B111"/>
    <mergeCell ref="A113:B113"/>
    <mergeCell ref="A114:D114"/>
    <mergeCell ref="A115:D115"/>
    <mergeCell ref="A116:D116"/>
    <mergeCell ref="A120:B120"/>
    <mergeCell ref="A121:D121"/>
    <mergeCell ref="A143:C143"/>
    <mergeCell ref="A130:D130"/>
    <mergeCell ref="A131:B131"/>
    <mergeCell ref="A134:C134"/>
    <mergeCell ref="A135:D135"/>
    <mergeCell ref="A136:D136"/>
    <mergeCell ref="A137:D137"/>
    <mergeCell ref="B138:C138"/>
    <mergeCell ref="B139:C139"/>
    <mergeCell ref="B140:C140"/>
    <mergeCell ref="B141:C141"/>
    <mergeCell ref="B142:C142"/>
    <mergeCell ref="A161:C161"/>
    <mergeCell ref="A144:D144"/>
    <mergeCell ref="A145:C145"/>
    <mergeCell ref="A146:D146"/>
    <mergeCell ref="A147:D147"/>
    <mergeCell ref="A148:D148"/>
    <mergeCell ref="A151:C151"/>
    <mergeCell ref="A153:C153"/>
    <mergeCell ref="B154:D154"/>
    <mergeCell ref="A158:B158"/>
    <mergeCell ref="A159:B159"/>
    <mergeCell ref="A160:D160"/>
    <mergeCell ref="A174:C174"/>
    <mergeCell ref="A162:D162"/>
    <mergeCell ref="B163:C163"/>
    <mergeCell ref="B164:C164"/>
    <mergeCell ref="B165:C165"/>
    <mergeCell ref="B166:C166"/>
    <mergeCell ref="B167:C167"/>
    <mergeCell ref="A168:C168"/>
    <mergeCell ref="B169:C169"/>
    <mergeCell ref="A170:C170"/>
    <mergeCell ref="A172:C172"/>
    <mergeCell ref="A173:C17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C77E3C-6E6C-4743-96C9-B1A834DB8457}">
  <sheetPr codeName="Planilha3"/>
  <dimension ref="A1:WVO176"/>
  <sheetViews>
    <sheetView zoomScale="85" zoomScaleNormal="85" workbookViewId="0">
      <selection activeCell="A13" sqref="A13:D13"/>
    </sheetView>
  </sheetViews>
  <sheetFormatPr defaultColWidth="0" defaultRowHeight="15.75" customHeight="1" zeroHeight="1" outlineLevelRow="2" x14ac:dyDescent="0.3"/>
  <cols>
    <col min="1" max="1" width="18.7109375" style="21" customWidth="1"/>
    <col min="2" max="2" width="72" style="21" customWidth="1"/>
    <col min="3" max="3" width="22.85546875" style="21" customWidth="1"/>
    <col min="4" max="4" width="29.85546875" style="21" customWidth="1"/>
    <col min="5" max="5" width="11.85546875" style="81" customWidth="1"/>
    <col min="6" max="6" width="9.140625" style="81" customWidth="1"/>
    <col min="7" max="254" width="9.140625" style="81" hidden="1"/>
    <col min="255" max="255" width="18.7109375" style="81" hidden="1"/>
    <col min="256" max="256" width="72" style="81" hidden="1"/>
    <col min="257" max="257" width="22.85546875" style="81" hidden="1"/>
    <col min="258" max="258" width="29.85546875" style="81" hidden="1"/>
    <col min="259" max="260" width="9.140625" style="81" hidden="1"/>
    <col min="261" max="261" width="15.42578125" style="81" hidden="1"/>
    <col min="262" max="510" width="9.140625" style="81" hidden="1"/>
    <col min="511" max="511" width="18.7109375" style="81" hidden="1"/>
    <col min="512" max="512" width="72" style="81" hidden="1"/>
    <col min="513" max="513" width="22.85546875" style="81" hidden="1"/>
    <col min="514" max="514" width="29.85546875" style="81" hidden="1"/>
    <col min="515" max="516" width="9.140625" style="81" hidden="1"/>
    <col min="517" max="517" width="15.42578125" style="81" hidden="1"/>
    <col min="518" max="766" width="9.140625" style="81" hidden="1"/>
    <col min="767" max="767" width="18.7109375" style="81" hidden="1"/>
    <col min="768" max="768" width="72" style="81" hidden="1"/>
    <col min="769" max="769" width="22.85546875" style="81" hidden="1"/>
    <col min="770" max="770" width="29.85546875" style="81" hidden="1"/>
    <col min="771" max="772" width="9.140625" style="81" hidden="1"/>
    <col min="773" max="773" width="15.42578125" style="81" hidden="1"/>
    <col min="774" max="1022" width="9.140625" style="81" hidden="1"/>
    <col min="1023" max="1023" width="18.7109375" style="81" hidden="1"/>
    <col min="1024" max="1024" width="72" style="81" hidden="1"/>
    <col min="1025" max="1025" width="22.85546875" style="81" hidden="1"/>
    <col min="1026" max="1026" width="29.85546875" style="81" hidden="1"/>
    <col min="1027" max="1028" width="9.140625" style="81" hidden="1"/>
    <col min="1029" max="1029" width="15.42578125" style="81" hidden="1"/>
    <col min="1030" max="1278" width="9.140625" style="81" hidden="1"/>
    <col min="1279" max="1279" width="18.7109375" style="81" hidden="1"/>
    <col min="1280" max="1280" width="72" style="81" hidden="1"/>
    <col min="1281" max="1281" width="22.85546875" style="81" hidden="1"/>
    <col min="1282" max="1282" width="29.85546875" style="81" hidden="1"/>
    <col min="1283" max="1284" width="9.140625" style="81" hidden="1"/>
    <col min="1285" max="1285" width="15.42578125" style="81" hidden="1"/>
    <col min="1286" max="1534" width="9.140625" style="81" hidden="1"/>
    <col min="1535" max="1535" width="18.7109375" style="81" hidden="1"/>
    <col min="1536" max="1536" width="72" style="81" hidden="1"/>
    <col min="1537" max="1537" width="22.85546875" style="81" hidden="1"/>
    <col min="1538" max="1538" width="29.85546875" style="81" hidden="1"/>
    <col min="1539" max="1540" width="9.140625" style="81" hidden="1"/>
    <col min="1541" max="1541" width="15.42578125" style="81" hidden="1"/>
    <col min="1542" max="1790" width="9.140625" style="81" hidden="1"/>
    <col min="1791" max="1791" width="18.7109375" style="81" hidden="1"/>
    <col min="1792" max="1792" width="72" style="81" hidden="1"/>
    <col min="1793" max="1793" width="22.85546875" style="81" hidden="1"/>
    <col min="1794" max="1794" width="29.85546875" style="81" hidden="1"/>
    <col min="1795" max="1796" width="9.140625" style="81" hidden="1"/>
    <col min="1797" max="1797" width="15.42578125" style="81" hidden="1"/>
    <col min="1798" max="2046" width="9.140625" style="81" hidden="1"/>
    <col min="2047" max="2047" width="18.7109375" style="81" hidden="1"/>
    <col min="2048" max="2048" width="72" style="81" hidden="1"/>
    <col min="2049" max="2049" width="22.85546875" style="81" hidden="1"/>
    <col min="2050" max="2050" width="29.85546875" style="81" hidden="1"/>
    <col min="2051" max="2052" width="9.140625" style="81" hidden="1"/>
    <col min="2053" max="2053" width="15.42578125" style="81" hidden="1"/>
    <col min="2054" max="2302" width="9.140625" style="81" hidden="1"/>
    <col min="2303" max="2303" width="18.7109375" style="81" hidden="1"/>
    <col min="2304" max="2304" width="72" style="81" hidden="1"/>
    <col min="2305" max="2305" width="22.85546875" style="81" hidden="1"/>
    <col min="2306" max="2306" width="29.85546875" style="81" hidden="1"/>
    <col min="2307" max="2308" width="9.140625" style="81" hidden="1"/>
    <col min="2309" max="2309" width="15.42578125" style="81" hidden="1"/>
    <col min="2310" max="2558" width="9.140625" style="81" hidden="1"/>
    <col min="2559" max="2559" width="18.7109375" style="81" hidden="1"/>
    <col min="2560" max="2560" width="72" style="81" hidden="1"/>
    <col min="2561" max="2561" width="22.85546875" style="81" hidden="1"/>
    <col min="2562" max="2562" width="29.85546875" style="81" hidden="1"/>
    <col min="2563" max="2564" width="9.140625" style="81" hidden="1"/>
    <col min="2565" max="2565" width="15.42578125" style="81" hidden="1"/>
    <col min="2566" max="2814" width="9.140625" style="81" hidden="1"/>
    <col min="2815" max="2815" width="18.7109375" style="81" hidden="1"/>
    <col min="2816" max="2816" width="72" style="81" hidden="1"/>
    <col min="2817" max="2817" width="22.85546875" style="81" hidden="1"/>
    <col min="2818" max="2818" width="29.85546875" style="81" hidden="1"/>
    <col min="2819" max="2820" width="9.140625" style="81" hidden="1"/>
    <col min="2821" max="2821" width="15.42578125" style="81" hidden="1"/>
    <col min="2822" max="3070" width="9.140625" style="81" hidden="1"/>
    <col min="3071" max="3071" width="18.7109375" style="81" hidden="1"/>
    <col min="3072" max="3072" width="72" style="81" hidden="1"/>
    <col min="3073" max="3073" width="22.85546875" style="81" hidden="1"/>
    <col min="3074" max="3074" width="29.85546875" style="81" hidden="1"/>
    <col min="3075" max="3076" width="9.140625" style="81" hidden="1"/>
    <col min="3077" max="3077" width="15.42578125" style="81" hidden="1"/>
    <col min="3078" max="3326" width="9.140625" style="81" hidden="1"/>
    <col min="3327" max="3327" width="18.7109375" style="81" hidden="1"/>
    <col min="3328" max="3328" width="72" style="81" hidden="1"/>
    <col min="3329" max="3329" width="22.85546875" style="81" hidden="1"/>
    <col min="3330" max="3330" width="29.85546875" style="81" hidden="1"/>
    <col min="3331" max="3332" width="9.140625" style="81" hidden="1"/>
    <col min="3333" max="3333" width="15.42578125" style="81" hidden="1"/>
    <col min="3334" max="3582" width="9.140625" style="81" hidden="1"/>
    <col min="3583" max="3583" width="18.7109375" style="81" hidden="1"/>
    <col min="3584" max="3584" width="72" style="81" hidden="1"/>
    <col min="3585" max="3585" width="22.85546875" style="81" hidden="1"/>
    <col min="3586" max="3586" width="29.85546875" style="81" hidden="1"/>
    <col min="3587" max="3588" width="9.140625" style="81" hidden="1"/>
    <col min="3589" max="3589" width="15.42578125" style="81" hidden="1"/>
    <col min="3590" max="3838" width="9.140625" style="81" hidden="1"/>
    <col min="3839" max="3839" width="18.7109375" style="81" hidden="1"/>
    <col min="3840" max="3840" width="72" style="81" hidden="1"/>
    <col min="3841" max="3841" width="22.85546875" style="81" hidden="1"/>
    <col min="3842" max="3842" width="29.85546875" style="81" hidden="1"/>
    <col min="3843" max="3844" width="9.140625" style="81" hidden="1"/>
    <col min="3845" max="3845" width="15.42578125" style="81" hidden="1"/>
    <col min="3846" max="4094" width="9.140625" style="81" hidden="1"/>
    <col min="4095" max="4095" width="18.7109375" style="81" hidden="1"/>
    <col min="4096" max="4096" width="72" style="81" hidden="1"/>
    <col min="4097" max="4097" width="22.85546875" style="81" hidden="1"/>
    <col min="4098" max="4098" width="29.85546875" style="81" hidden="1"/>
    <col min="4099" max="4100" width="9.140625" style="81" hidden="1"/>
    <col min="4101" max="4101" width="15.42578125" style="81" hidden="1"/>
    <col min="4102" max="4350" width="9.140625" style="81" hidden="1"/>
    <col min="4351" max="4351" width="18.7109375" style="81" hidden="1"/>
    <col min="4352" max="4352" width="72" style="81" hidden="1"/>
    <col min="4353" max="4353" width="22.85546875" style="81" hidden="1"/>
    <col min="4354" max="4354" width="29.85546875" style="81" hidden="1"/>
    <col min="4355" max="4356" width="9.140625" style="81" hidden="1"/>
    <col min="4357" max="4357" width="15.42578125" style="81" hidden="1"/>
    <col min="4358" max="4606" width="9.140625" style="81" hidden="1"/>
    <col min="4607" max="4607" width="18.7109375" style="81" hidden="1"/>
    <col min="4608" max="4608" width="72" style="81" hidden="1"/>
    <col min="4609" max="4609" width="22.85546875" style="81" hidden="1"/>
    <col min="4610" max="4610" width="29.85546875" style="81" hidden="1"/>
    <col min="4611" max="4612" width="9.140625" style="81" hidden="1"/>
    <col min="4613" max="4613" width="15.42578125" style="81" hidden="1"/>
    <col min="4614" max="4862" width="9.140625" style="81" hidden="1"/>
    <col min="4863" max="4863" width="18.7109375" style="81" hidden="1"/>
    <col min="4864" max="4864" width="72" style="81" hidden="1"/>
    <col min="4865" max="4865" width="22.85546875" style="81" hidden="1"/>
    <col min="4866" max="4866" width="29.85546875" style="81" hidden="1"/>
    <col min="4867" max="4868" width="9.140625" style="81" hidden="1"/>
    <col min="4869" max="4869" width="15.42578125" style="81" hidden="1"/>
    <col min="4870" max="5118" width="9.140625" style="81" hidden="1"/>
    <col min="5119" max="5119" width="18.7109375" style="81" hidden="1"/>
    <col min="5120" max="5120" width="72" style="81" hidden="1"/>
    <col min="5121" max="5121" width="22.85546875" style="81" hidden="1"/>
    <col min="5122" max="5122" width="29.85546875" style="81" hidden="1"/>
    <col min="5123" max="5124" width="9.140625" style="81" hidden="1"/>
    <col min="5125" max="5125" width="15.42578125" style="81" hidden="1"/>
    <col min="5126" max="5374" width="9.140625" style="81" hidden="1"/>
    <col min="5375" max="5375" width="18.7109375" style="81" hidden="1"/>
    <col min="5376" max="5376" width="72" style="81" hidden="1"/>
    <col min="5377" max="5377" width="22.85546875" style="81" hidden="1"/>
    <col min="5378" max="5378" width="29.85546875" style="81" hidden="1"/>
    <col min="5379" max="5380" width="9.140625" style="81" hidden="1"/>
    <col min="5381" max="5381" width="15.42578125" style="81" hidden="1"/>
    <col min="5382" max="5630" width="9.140625" style="81" hidden="1"/>
    <col min="5631" max="5631" width="18.7109375" style="81" hidden="1"/>
    <col min="5632" max="5632" width="72" style="81" hidden="1"/>
    <col min="5633" max="5633" width="22.85546875" style="81" hidden="1"/>
    <col min="5634" max="5634" width="29.85546875" style="81" hidden="1"/>
    <col min="5635" max="5636" width="9.140625" style="81" hidden="1"/>
    <col min="5637" max="5637" width="15.42578125" style="81" hidden="1"/>
    <col min="5638" max="5886" width="9.140625" style="81" hidden="1"/>
    <col min="5887" max="5887" width="18.7109375" style="81" hidden="1"/>
    <col min="5888" max="5888" width="72" style="81" hidden="1"/>
    <col min="5889" max="5889" width="22.85546875" style="81" hidden="1"/>
    <col min="5890" max="5890" width="29.85546875" style="81" hidden="1"/>
    <col min="5891" max="5892" width="9.140625" style="81" hidden="1"/>
    <col min="5893" max="5893" width="15.42578125" style="81" hidden="1"/>
    <col min="5894" max="6142" width="9.140625" style="81" hidden="1"/>
    <col min="6143" max="6143" width="18.7109375" style="81" hidden="1"/>
    <col min="6144" max="6144" width="72" style="81" hidden="1"/>
    <col min="6145" max="6145" width="22.85546875" style="81" hidden="1"/>
    <col min="6146" max="6146" width="29.85546875" style="81" hidden="1"/>
    <col min="6147" max="6148" width="9.140625" style="81" hidden="1"/>
    <col min="6149" max="6149" width="15.42578125" style="81" hidden="1"/>
    <col min="6150" max="6398" width="9.140625" style="81" hidden="1"/>
    <col min="6399" max="6399" width="18.7109375" style="81" hidden="1"/>
    <col min="6400" max="6400" width="72" style="81" hidden="1"/>
    <col min="6401" max="6401" width="22.85546875" style="81" hidden="1"/>
    <col min="6402" max="6402" width="29.85546875" style="81" hidden="1"/>
    <col min="6403" max="6404" width="9.140625" style="81" hidden="1"/>
    <col min="6405" max="6405" width="15.42578125" style="81" hidden="1"/>
    <col min="6406" max="6654" width="9.140625" style="81" hidden="1"/>
    <col min="6655" max="6655" width="18.7109375" style="81" hidden="1"/>
    <col min="6656" max="6656" width="72" style="81" hidden="1"/>
    <col min="6657" max="6657" width="22.85546875" style="81" hidden="1"/>
    <col min="6658" max="6658" width="29.85546875" style="81" hidden="1"/>
    <col min="6659" max="6660" width="9.140625" style="81" hidden="1"/>
    <col min="6661" max="6661" width="15.42578125" style="81" hidden="1"/>
    <col min="6662" max="6910" width="9.140625" style="81" hidden="1"/>
    <col min="6911" max="6911" width="18.7109375" style="81" hidden="1"/>
    <col min="6912" max="6912" width="72" style="81" hidden="1"/>
    <col min="6913" max="6913" width="22.85546875" style="81" hidden="1"/>
    <col min="6914" max="6914" width="29.85546875" style="81" hidden="1"/>
    <col min="6915" max="6916" width="9.140625" style="81" hidden="1"/>
    <col min="6917" max="6917" width="15.42578125" style="81" hidden="1"/>
    <col min="6918" max="7166" width="9.140625" style="81" hidden="1"/>
    <col min="7167" max="7167" width="18.7109375" style="81" hidden="1"/>
    <col min="7168" max="7168" width="72" style="81" hidden="1"/>
    <col min="7169" max="7169" width="22.85546875" style="81" hidden="1"/>
    <col min="7170" max="7170" width="29.85546875" style="81" hidden="1"/>
    <col min="7171" max="7172" width="9.140625" style="81" hidden="1"/>
    <col min="7173" max="7173" width="15.42578125" style="81" hidden="1"/>
    <col min="7174" max="7422" width="9.140625" style="81" hidden="1"/>
    <col min="7423" max="7423" width="18.7109375" style="81" hidden="1"/>
    <col min="7424" max="7424" width="72" style="81" hidden="1"/>
    <col min="7425" max="7425" width="22.85546875" style="81" hidden="1"/>
    <col min="7426" max="7426" width="29.85546875" style="81" hidden="1"/>
    <col min="7427" max="7428" width="9.140625" style="81" hidden="1"/>
    <col min="7429" max="7429" width="15.42578125" style="81" hidden="1"/>
    <col min="7430" max="7678" width="9.140625" style="81" hidden="1"/>
    <col min="7679" max="7679" width="18.7109375" style="81" hidden="1"/>
    <col min="7680" max="7680" width="72" style="81" hidden="1"/>
    <col min="7681" max="7681" width="22.85546875" style="81" hidden="1"/>
    <col min="7682" max="7682" width="29.85546875" style="81" hidden="1"/>
    <col min="7683" max="7684" width="9.140625" style="81" hidden="1"/>
    <col min="7685" max="7685" width="15.42578125" style="81" hidden="1"/>
    <col min="7686" max="7934" width="9.140625" style="81" hidden="1"/>
    <col min="7935" max="7935" width="18.7109375" style="81" hidden="1"/>
    <col min="7936" max="7936" width="72" style="81" hidden="1"/>
    <col min="7937" max="7937" width="22.85546875" style="81" hidden="1"/>
    <col min="7938" max="7938" width="29.85546875" style="81" hidden="1"/>
    <col min="7939" max="7940" width="9.140625" style="81" hidden="1"/>
    <col min="7941" max="7941" width="15.42578125" style="81" hidden="1"/>
    <col min="7942" max="8190" width="9.140625" style="81" hidden="1"/>
    <col min="8191" max="8191" width="18.7109375" style="81" hidden="1"/>
    <col min="8192" max="8192" width="72" style="81" hidden="1"/>
    <col min="8193" max="8193" width="22.85546875" style="81" hidden="1"/>
    <col min="8194" max="8194" width="29.85546875" style="81" hidden="1"/>
    <col min="8195" max="8196" width="9.140625" style="81" hidden="1"/>
    <col min="8197" max="8197" width="15.42578125" style="81" hidden="1"/>
    <col min="8198" max="8446" width="9.140625" style="81" hidden="1"/>
    <col min="8447" max="8447" width="18.7109375" style="81" hidden="1"/>
    <col min="8448" max="8448" width="72" style="81" hidden="1"/>
    <col min="8449" max="8449" width="22.85546875" style="81" hidden="1"/>
    <col min="8450" max="8450" width="29.85546875" style="81" hidden="1"/>
    <col min="8451" max="8452" width="9.140625" style="81" hidden="1"/>
    <col min="8453" max="8453" width="15.42578125" style="81" hidden="1"/>
    <col min="8454" max="8702" width="9.140625" style="81" hidden="1"/>
    <col min="8703" max="8703" width="18.7109375" style="81" hidden="1"/>
    <col min="8704" max="8704" width="72" style="81" hidden="1"/>
    <col min="8705" max="8705" width="22.85546875" style="81" hidden="1"/>
    <col min="8706" max="8706" width="29.85546875" style="81" hidden="1"/>
    <col min="8707" max="8708" width="9.140625" style="81" hidden="1"/>
    <col min="8709" max="8709" width="15.42578125" style="81" hidden="1"/>
    <col min="8710" max="8958" width="9.140625" style="81" hidden="1"/>
    <col min="8959" max="8959" width="18.7109375" style="81" hidden="1"/>
    <col min="8960" max="8960" width="72" style="81" hidden="1"/>
    <col min="8961" max="8961" width="22.85546875" style="81" hidden="1"/>
    <col min="8962" max="8962" width="29.85546875" style="81" hidden="1"/>
    <col min="8963" max="8964" width="9.140625" style="81" hidden="1"/>
    <col min="8965" max="8965" width="15.42578125" style="81" hidden="1"/>
    <col min="8966" max="9214" width="9.140625" style="81" hidden="1"/>
    <col min="9215" max="9215" width="18.7109375" style="81" hidden="1"/>
    <col min="9216" max="9216" width="72" style="81" hidden="1"/>
    <col min="9217" max="9217" width="22.85546875" style="81" hidden="1"/>
    <col min="9218" max="9218" width="29.85546875" style="81" hidden="1"/>
    <col min="9219" max="9220" width="9.140625" style="81" hidden="1"/>
    <col min="9221" max="9221" width="15.42578125" style="81" hidden="1"/>
    <col min="9222" max="9470" width="9.140625" style="81" hidden="1"/>
    <col min="9471" max="9471" width="18.7109375" style="81" hidden="1"/>
    <col min="9472" max="9472" width="72" style="81" hidden="1"/>
    <col min="9473" max="9473" width="22.85546875" style="81" hidden="1"/>
    <col min="9474" max="9474" width="29.85546875" style="81" hidden="1"/>
    <col min="9475" max="9476" width="9.140625" style="81" hidden="1"/>
    <col min="9477" max="9477" width="15.42578125" style="81" hidden="1"/>
    <col min="9478" max="9726" width="9.140625" style="81" hidden="1"/>
    <col min="9727" max="9727" width="18.7109375" style="81" hidden="1"/>
    <col min="9728" max="9728" width="72" style="81" hidden="1"/>
    <col min="9729" max="9729" width="22.85546875" style="81" hidden="1"/>
    <col min="9730" max="9730" width="29.85546875" style="81" hidden="1"/>
    <col min="9731" max="9732" width="9.140625" style="81" hidden="1"/>
    <col min="9733" max="9733" width="15.42578125" style="81" hidden="1"/>
    <col min="9734" max="9982" width="9.140625" style="81" hidden="1"/>
    <col min="9983" max="9983" width="18.7109375" style="81" hidden="1"/>
    <col min="9984" max="9984" width="72" style="81" hidden="1"/>
    <col min="9985" max="9985" width="22.85546875" style="81" hidden="1"/>
    <col min="9986" max="9986" width="29.85546875" style="81" hidden="1"/>
    <col min="9987" max="9988" width="9.140625" style="81" hidden="1"/>
    <col min="9989" max="9989" width="15.42578125" style="81" hidden="1"/>
    <col min="9990" max="10238" width="9.140625" style="81" hidden="1"/>
    <col min="10239" max="10239" width="18.7109375" style="81" hidden="1"/>
    <col min="10240" max="10240" width="72" style="81" hidden="1"/>
    <col min="10241" max="10241" width="22.85546875" style="81" hidden="1"/>
    <col min="10242" max="10242" width="29.85546875" style="81" hidden="1"/>
    <col min="10243" max="10244" width="9.140625" style="81" hidden="1"/>
    <col min="10245" max="10245" width="15.42578125" style="81" hidden="1"/>
    <col min="10246" max="10494" width="9.140625" style="81" hidden="1"/>
    <col min="10495" max="10495" width="18.7109375" style="81" hidden="1"/>
    <col min="10496" max="10496" width="72" style="81" hidden="1"/>
    <col min="10497" max="10497" width="22.85546875" style="81" hidden="1"/>
    <col min="10498" max="10498" width="29.85546875" style="81" hidden="1"/>
    <col min="10499" max="10500" width="9.140625" style="81" hidden="1"/>
    <col min="10501" max="10501" width="15.42578125" style="81" hidden="1"/>
    <col min="10502" max="10750" width="9.140625" style="81" hidden="1"/>
    <col min="10751" max="10751" width="18.7109375" style="81" hidden="1"/>
    <col min="10752" max="10752" width="72" style="81" hidden="1"/>
    <col min="10753" max="10753" width="22.85546875" style="81" hidden="1"/>
    <col min="10754" max="10754" width="29.85546875" style="81" hidden="1"/>
    <col min="10755" max="10756" width="9.140625" style="81" hidden="1"/>
    <col min="10757" max="10757" width="15.42578125" style="81" hidden="1"/>
    <col min="10758" max="11006" width="9.140625" style="81" hidden="1"/>
    <col min="11007" max="11007" width="18.7109375" style="81" hidden="1"/>
    <col min="11008" max="11008" width="72" style="81" hidden="1"/>
    <col min="11009" max="11009" width="22.85546875" style="81" hidden="1"/>
    <col min="11010" max="11010" width="29.85546875" style="81" hidden="1"/>
    <col min="11011" max="11012" width="9.140625" style="81" hidden="1"/>
    <col min="11013" max="11013" width="15.42578125" style="81" hidden="1"/>
    <col min="11014" max="11262" width="9.140625" style="81" hidden="1"/>
    <col min="11263" max="11263" width="18.7109375" style="81" hidden="1"/>
    <col min="11264" max="11264" width="72" style="81" hidden="1"/>
    <col min="11265" max="11265" width="22.85546875" style="81" hidden="1"/>
    <col min="11266" max="11266" width="29.85546875" style="81" hidden="1"/>
    <col min="11267" max="11268" width="9.140625" style="81" hidden="1"/>
    <col min="11269" max="11269" width="15.42578125" style="81" hidden="1"/>
    <col min="11270" max="11518" width="9.140625" style="81" hidden="1"/>
    <col min="11519" max="11519" width="18.7109375" style="81" hidden="1"/>
    <col min="11520" max="11520" width="72" style="81" hidden="1"/>
    <col min="11521" max="11521" width="22.85546875" style="81" hidden="1"/>
    <col min="11522" max="11522" width="29.85546875" style="81" hidden="1"/>
    <col min="11523" max="11524" width="9.140625" style="81" hidden="1"/>
    <col min="11525" max="11525" width="15.42578125" style="81" hidden="1"/>
    <col min="11526" max="11774" width="9.140625" style="81" hidden="1"/>
    <col min="11775" max="11775" width="18.7109375" style="81" hidden="1"/>
    <col min="11776" max="11776" width="72" style="81" hidden="1"/>
    <col min="11777" max="11777" width="22.85546875" style="81" hidden="1"/>
    <col min="11778" max="11778" width="29.85546875" style="81" hidden="1"/>
    <col min="11779" max="11780" width="9.140625" style="81" hidden="1"/>
    <col min="11781" max="11781" width="15.42578125" style="81" hidden="1"/>
    <col min="11782" max="12030" width="9.140625" style="81" hidden="1"/>
    <col min="12031" max="12031" width="18.7109375" style="81" hidden="1"/>
    <col min="12032" max="12032" width="72" style="81" hidden="1"/>
    <col min="12033" max="12033" width="22.85546875" style="81" hidden="1"/>
    <col min="12034" max="12034" width="29.85546875" style="81" hidden="1"/>
    <col min="12035" max="12036" width="9.140625" style="81" hidden="1"/>
    <col min="12037" max="12037" width="15.42578125" style="81" hidden="1"/>
    <col min="12038" max="12286" width="9.140625" style="81" hidden="1"/>
    <col min="12287" max="12287" width="18.7109375" style="81" hidden="1"/>
    <col min="12288" max="12288" width="72" style="81" hidden="1"/>
    <col min="12289" max="12289" width="22.85546875" style="81" hidden="1"/>
    <col min="12290" max="12290" width="29.85546875" style="81" hidden="1"/>
    <col min="12291" max="12292" width="9.140625" style="81" hidden="1"/>
    <col min="12293" max="12293" width="15.42578125" style="81" hidden="1"/>
    <col min="12294" max="12542" width="9.140625" style="81" hidden="1"/>
    <col min="12543" max="12543" width="18.7109375" style="81" hidden="1"/>
    <col min="12544" max="12544" width="72" style="81" hidden="1"/>
    <col min="12545" max="12545" width="22.85546875" style="81" hidden="1"/>
    <col min="12546" max="12546" width="29.85546875" style="81" hidden="1"/>
    <col min="12547" max="12548" width="9.140625" style="81" hidden="1"/>
    <col min="12549" max="12549" width="15.42578125" style="81" hidden="1"/>
    <col min="12550" max="12798" width="9.140625" style="81" hidden="1"/>
    <col min="12799" max="12799" width="18.7109375" style="81" hidden="1"/>
    <col min="12800" max="12800" width="72" style="81" hidden="1"/>
    <col min="12801" max="12801" width="22.85546875" style="81" hidden="1"/>
    <col min="12802" max="12802" width="29.85546875" style="81" hidden="1"/>
    <col min="12803" max="12804" width="9.140625" style="81" hidden="1"/>
    <col min="12805" max="12805" width="15.42578125" style="81" hidden="1"/>
    <col min="12806" max="13054" width="9.140625" style="81" hidden="1"/>
    <col min="13055" max="13055" width="18.7109375" style="81" hidden="1"/>
    <col min="13056" max="13056" width="72" style="81" hidden="1"/>
    <col min="13057" max="13057" width="22.85546875" style="81" hidden="1"/>
    <col min="13058" max="13058" width="29.85546875" style="81" hidden="1"/>
    <col min="13059" max="13060" width="9.140625" style="81" hidden="1"/>
    <col min="13061" max="13061" width="15.42578125" style="81" hidden="1"/>
    <col min="13062" max="13310" width="9.140625" style="81" hidden="1"/>
    <col min="13311" max="13311" width="18.7109375" style="81" hidden="1"/>
    <col min="13312" max="13312" width="72" style="81" hidden="1"/>
    <col min="13313" max="13313" width="22.85546875" style="81" hidden="1"/>
    <col min="13314" max="13314" width="29.85546875" style="81" hidden="1"/>
    <col min="13315" max="13316" width="9.140625" style="81" hidden="1"/>
    <col min="13317" max="13317" width="15.42578125" style="81" hidden="1"/>
    <col min="13318" max="13566" width="9.140625" style="81" hidden="1"/>
    <col min="13567" max="13567" width="18.7109375" style="81" hidden="1"/>
    <col min="13568" max="13568" width="72" style="81" hidden="1"/>
    <col min="13569" max="13569" width="22.85546875" style="81" hidden="1"/>
    <col min="13570" max="13570" width="29.85546875" style="81" hidden="1"/>
    <col min="13571" max="13572" width="9.140625" style="81" hidden="1"/>
    <col min="13573" max="13573" width="15.42578125" style="81" hidden="1"/>
    <col min="13574" max="13822" width="9.140625" style="81" hidden="1"/>
    <col min="13823" max="13823" width="18.7109375" style="81" hidden="1"/>
    <col min="13824" max="13824" width="72" style="81" hidden="1"/>
    <col min="13825" max="13825" width="22.85546875" style="81" hidden="1"/>
    <col min="13826" max="13826" width="29.85546875" style="81" hidden="1"/>
    <col min="13827" max="13828" width="9.140625" style="81" hidden="1"/>
    <col min="13829" max="13829" width="15.42578125" style="81" hidden="1"/>
    <col min="13830" max="14078" width="9.140625" style="81" hidden="1"/>
    <col min="14079" max="14079" width="18.7109375" style="81" hidden="1"/>
    <col min="14080" max="14080" width="72" style="81" hidden="1"/>
    <col min="14081" max="14081" width="22.85546875" style="81" hidden="1"/>
    <col min="14082" max="14082" width="29.85546875" style="81" hidden="1"/>
    <col min="14083" max="14084" width="9.140625" style="81" hidden="1"/>
    <col min="14085" max="14085" width="15.42578125" style="81" hidden="1"/>
    <col min="14086" max="14334" width="9.140625" style="81" hidden="1"/>
    <col min="14335" max="14335" width="18.7109375" style="81" hidden="1"/>
    <col min="14336" max="14336" width="72" style="81" hidden="1"/>
    <col min="14337" max="14337" width="22.85546875" style="81" hidden="1"/>
    <col min="14338" max="14338" width="29.85546875" style="81" hidden="1"/>
    <col min="14339" max="14340" width="9.140625" style="81" hidden="1"/>
    <col min="14341" max="14341" width="15.42578125" style="81" hidden="1"/>
    <col min="14342" max="14590" width="9.140625" style="81" hidden="1"/>
    <col min="14591" max="14591" width="18.7109375" style="81" hidden="1"/>
    <col min="14592" max="14592" width="72" style="81" hidden="1"/>
    <col min="14593" max="14593" width="22.85546875" style="81" hidden="1"/>
    <col min="14594" max="14594" width="29.85546875" style="81" hidden="1"/>
    <col min="14595" max="14596" width="9.140625" style="81" hidden="1"/>
    <col min="14597" max="14597" width="15.42578125" style="81" hidden="1"/>
    <col min="14598" max="14846" width="9.140625" style="81" hidden="1"/>
    <col min="14847" max="14847" width="18.7109375" style="81" hidden="1"/>
    <col min="14848" max="14848" width="72" style="81" hidden="1"/>
    <col min="14849" max="14849" width="22.85546875" style="81" hidden="1"/>
    <col min="14850" max="14850" width="29.85546875" style="81" hidden="1"/>
    <col min="14851" max="14852" width="9.140625" style="81" hidden="1"/>
    <col min="14853" max="14853" width="15.42578125" style="81" hidden="1"/>
    <col min="14854" max="15102" width="9.140625" style="81" hidden="1"/>
    <col min="15103" max="15103" width="18.7109375" style="81" hidden="1"/>
    <col min="15104" max="15104" width="72" style="81" hidden="1"/>
    <col min="15105" max="15105" width="22.85546875" style="81" hidden="1"/>
    <col min="15106" max="15106" width="29.85546875" style="81" hidden="1"/>
    <col min="15107" max="15108" width="9.140625" style="81" hidden="1"/>
    <col min="15109" max="15109" width="15.42578125" style="81" hidden="1"/>
    <col min="15110" max="15358" width="9.140625" style="81" hidden="1"/>
    <col min="15359" max="15359" width="18.7109375" style="81" hidden="1"/>
    <col min="15360" max="15360" width="72" style="81" hidden="1"/>
    <col min="15361" max="15361" width="22.85546875" style="81" hidden="1"/>
    <col min="15362" max="15362" width="29.85546875" style="81" hidden="1"/>
    <col min="15363" max="15364" width="9.140625" style="81" hidden="1"/>
    <col min="15365" max="15365" width="15.42578125" style="81" hidden="1"/>
    <col min="15366" max="15614" width="9.140625" style="81" hidden="1"/>
    <col min="15615" max="15615" width="18.7109375" style="81" hidden="1"/>
    <col min="15616" max="15616" width="72" style="81" hidden="1"/>
    <col min="15617" max="15617" width="22.85546875" style="81" hidden="1"/>
    <col min="15618" max="15618" width="29.85546875" style="81" hidden="1"/>
    <col min="15619" max="15620" width="9.140625" style="81" hidden="1"/>
    <col min="15621" max="15621" width="15.42578125" style="81" hidden="1"/>
    <col min="15622" max="15870" width="9.140625" style="81" hidden="1"/>
    <col min="15871" max="15871" width="18.7109375" style="81" hidden="1"/>
    <col min="15872" max="15872" width="72" style="81" hidden="1"/>
    <col min="15873" max="15873" width="22.85546875" style="81" hidden="1"/>
    <col min="15874" max="15874" width="29.85546875" style="81" hidden="1"/>
    <col min="15875" max="15876" width="9.140625" style="81" hidden="1"/>
    <col min="15877" max="15877" width="15.42578125" style="81" hidden="1"/>
    <col min="15878" max="16126" width="9.140625" style="81" hidden="1"/>
    <col min="16127" max="16127" width="18.7109375" style="81" hidden="1"/>
    <col min="16128" max="16128" width="72" style="81" hidden="1"/>
    <col min="16129" max="16129" width="22.85546875" style="81" hidden="1"/>
    <col min="16130" max="16130" width="29.85546875" style="81" hidden="1"/>
    <col min="16131" max="16132" width="9.140625" style="81" hidden="1"/>
    <col min="16133" max="16135" width="15.42578125" style="81" hidden="1"/>
    <col min="16136" max="16384" width="9.140625" style="81" hidden="1"/>
  </cols>
  <sheetData>
    <row r="1" spans="1:7" x14ac:dyDescent="0.3">
      <c r="A1" s="251" t="s">
        <v>9</v>
      </c>
      <c r="B1" s="251"/>
      <c r="C1" s="251"/>
      <c r="D1" s="251"/>
      <c r="E1" s="20"/>
      <c r="F1" s="20"/>
      <c r="G1" s="20"/>
    </row>
    <row r="2" spans="1:7" x14ac:dyDescent="0.3">
      <c r="A2" s="252" t="s">
        <v>15</v>
      </c>
      <c r="B2" s="252"/>
      <c r="C2" s="253" t="s">
        <v>221</v>
      </c>
      <c r="D2" s="254"/>
      <c r="E2" s="20"/>
      <c r="F2" s="20"/>
      <c r="G2" s="20"/>
    </row>
    <row r="3" spans="1:7" x14ac:dyDescent="0.3">
      <c r="A3" s="252" t="s">
        <v>16</v>
      </c>
      <c r="B3" s="252"/>
      <c r="C3" s="253" t="s">
        <v>198</v>
      </c>
      <c r="D3" s="254"/>
      <c r="E3" s="20"/>
      <c r="F3" s="20"/>
      <c r="G3" s="20"/>
    </row>
    <row r="4" spans="1:7" x14ac:dyDescent="0.3">
      <c r="A4" s="250"/>
      <c r="B4" s="250"/>
      <c r="C4" s="250"/>
      <c r="D4" s="250"/>
      <c r="E4" s="20"/>
      <c r="F4" s="20"/>
      <c r="G4" s="20"/>
    </row>
    <row r="5" spans="1:7" x14ac:dyDescent="0.3">
      <c r="A5" s="250" t="s">
        <v>17</v>
      </c>
      <c r="B5" s="250"/>
      <c r="C5" s="250"/>
      <c r="D5" s="250"/>
      <c r="E5" s="20"/>
      <c r="F5" s="20"/>
      <c r="G5" s="20"/>
    </row>
    <row r="6" spans="1:7" x14ac:dyDescent="0.3">
      <c r="A6" s="156" t="s">
        <v>18</v>
      </c>
      <c r="B6" s="158" t="s">
        <v>8</v>
      </c>
      <c r="C6" s="257" t="s">
        <v>96</v>
      </c>
      <c r="D6" s="258"/>
      <c r="E6" s="20"/>
      <c r="F6" s="20"/>
      <c r="G6" s="20"/>
    </row>
    <row r="7" spans="1:7" x14ac:dyDescent="0.3">
      <c r="A7" s="156" t="s">
        <v>19</v>
      </c>
      <c r="B7" s="158" t="s">
        <v>7</v>
      </c>
      <c r="C7" s="259" t="s">
        <v>264</v>
      </c>
      <c r="D7" s="259"/>
      <c r="E7" s="20"/>
      <c r="F7" s="20"/>
      <c r="G7" s="20"/>
    </row>
    <row r="8" spans="1:7" x14ac:dyDescent="0.3">
      <c r="A8" s="22" t="s">
        <v>20</v>
      </c>
      <c r="B8" s="23" t="s">
        <v>21</v>
      </c>
      <c r="C8" s="260" t="s">
        <v>222</v>
      </c>
      <c r="D8" s="261"/>
      <c r="E8" s="20"/>
      <c r="F8" s="20"/>
      <c r="G8" s="20"/>
    </row>
    <row r="9" spans="1:7" x14ac:dyDescent="0.3">
      <c r="A9" s="156" t="s">
        <v>22</v>
      </c>
      <c r="B9" s="158" t="s">
        <v>23</v>
      </c>
      <c r="C9" s="255" t="s">
        <v>24</v>
      </c>
      <c r="D9" s="256"/>
      <c r="E9" s="20"/>
      <c r="F9" s="20"/>
      <c r="G9" s="20"/>
    </row>
    <row r="10" spans="1:7" x14ac:dyDescent="0.3">
      <c r="A10" s="156" t="s">
        <v>25</v>
      </c>
      <c r="B10" s="158" t="s">
        <v>26</v>
      </c>
      <c r="C10" s="255" t="s">
        <v>199</v>
      </c>
      <c r="D10" s="256"/>
      <c r="E10" s="20"/>
      <c r="F10" s="20"/>
      <c r="G10" s="20"/>
    </row>
    <row r="11" spans="1:7" x14ac:dyDescent="0.3">
      <c r="A11" s="156" t="s">
        <v>27</v>
      </c>
      <c r="B11" s="158" t="s">
        <v>28</v>
      </c>
      <c r="C11" s="262">
        <f>Proposta!F5</f>
        <v>1</v>
      </c>
      <c r="D11" s="263"/>
      <c r="E11" s="20"/>
      <c r="F11" s="20"/>
      <c r="G11" s="20"/>
    </row>
    <row r="12" spans="1:7" x14ac:dyDescent="0.3">
      <c r="A12" s="156" t="s">
        <v>29</v>
      </c>
      <c r="B12" s="158" t="s">
        <v>30</v>
      </c>
      <c r="C12" s="264">
        <f>Proposta!H5</f>
        <v>24</v>
      </c>
      <c r="D12" s="265"/>
      <c r="E12" s="20"/>
      <c r="F12" s="20"/>
      <c r="G12" s="20"/>
    </row>
    <row r="13" spans="1:7" x14ac:dyDescent="0.3">
      <c r="A13" s="266"/>
      <c r="B13" s="267"/>
      <c r="C13" s="267"/>
      <c r="D13" s="267"/>
      <c r="E13" s="20"/>
      <c r="F13" s="20"/>
      <c r="G13" s="20"/>
    </row>
    <row r="14" spans="1:7" x14ac:dyDescent="0.3">
      <c r="A14" s="268" t="s">
        <v>31</v>
      </c>
      <c r="B14" s="269"/>
      <c r="C14" s="269"/>
      <c r="D14" s="270"/>
      <c r="E14" s="20"/>
      <c r="F14" s="20"/>
      <c r="G14" s="20"/>
    </row>
    <row r="15" spans="1:7" x14ac:dyDescent="0.3">
      <c r="A15" s="259" t="s">
        <v>32</v>
      </c>
      <c r="B15" s="259"/>
      <c r="C15" s="259"/>
      <c r="D15" s="259"/>
      <c r="E15" s="20"/>
      <c r="F15" s="20"/>
      <c r="G15" s="20"/>
    </row>
    <row r="16" spans="1:7" x14ac:dyDescent="0.3">
      <c r="A16" s="156">
        <v>1</v>
      </c>
      <c r="B16" s="158" t="s">
        <v>33</v>
      </c>
      <c r="C16" s="255" t="s">
        <v>1</v>
      </c>
      <c r="D16" s="256" t="s">
        <v>1</v>
      </c>
      <c r="E16" s="20"/>
      <c r="F16" s="20"/>
      <c r="G16" s="20"/>
    </row>
    <row r="17" spans="1:7" x14ac:dyDescent="0.3">
      <c r="A17" s="156"/>
      <c r="B17" s="147" t="s">
        <v>253</v>
      </c>
      <c r="C17" s="272">
        <v>2</v>
      </c>
      <c r="D17" s="265">
        <v>1</v>
      </c>
      <c r="E17" s="20"/>
      <c r="F17" s="20"/>
      <c r="G17" s="20"/>
    </row>
    <row r="18" spans="1:7" x14ac:dyDescent="0.3">
      <c r="A18" s="156">
        <v>2</v>
      </c>
      <c r="B18" s="24" t="s">
        <v>34</v>
      </c>
      <c r="C18" s="273" t="s">
        <v>200</v>
      </c>
      <c r="D18" s="274"/>
      <c r="E18" s="20"/>
      <c r="F18" s="20"/>
      <c r="G18" s="20"/>
    </row>
    <row r="19" spans="1:7" x14ac:dyDescent="0.3">
      <c r="A19" s="259" t="s">
        <v>35</v>
      </c>
      <c r="B19" s="259"/>
      <c r="C19" s="259"/>
      <c r="D19" s="259"/>
      <c r="E19" s="20"/>
      <c r="F19" s="20"/>
      <c r="G19" s="20"/>
    </row>
    <row r="20" spans="1:7" x14ac:dyDescent="0.3">
      <c r="A20" s="156">
        <v>3</v>
      </c>
      <c r="B20" s="275" t="s">
        <v>6</v>
      </c>
      <c r="C20" s="276"/>
      <c r="D20" s="173">
        <v>1664.83</v>
      </c>
      <c r="E20" s="20"/>
      <c r="F20" s="20"/>
      <c r="G20" s="20"/>
    </row>
    <row r="21" spans="1:7" x14ac:dyDescent="0.3">
      <c r="A21" s="156">
        <v>4</v>
      </c>
      <c r="B21" s="275" t="s">
        <v>36</v>
      </c>
      <c r="C21" s="276"/>
      <c r="D21" s="174" t="s">
        <v>201</v>
      </c>
      <c r="E21" s="20"/>
      <c r="F21" s="20"/>
      <c r="G21" s="20"/>
    </row>
    <row r="22" spans="1:7" x14ac:dyDescent="0.3">
      <c r="A22" s="156">
        <v>5</v>
      </c>
      <c r="B22" s="275" t="s">
        <v>5</v>
      </c>
      <c r="C22" s="276"/>
      <c r="D22" s="175">
        <v>44228</v>
      </c>
      <c r="E22" s="20"/>
      <c r="F22" s="20"/>
      <c r="G22" s="20"/>
    </row>
    <row r="23" spans="1:7" x14ac:dyDescent="0.3">
      <c r="A23" s="255"/>
      <c r="B23" s="277"/>
      <c r="C23" s="277"/>
      <c r="D23" s="256"/>
      <c r="E23" s="20"/>
      <c r="F23" s="20"/>
      <c r="G23" s="20"/>
    </row>
    <row r="24" spans="1:7" x14ac:dyDescent="0.3">
      <c r="A24" s="278" t="s">
        <v>37</v>
      </c>
      <c r="B24" s="278"/>
      <c r="C24" s="278"/>
      <c r="D24" s="278"/>
      <c r="E24" s="20"/>
      <c r="F24" s="20"/>
      <c r="G24" s="20"/>
    </row>
    <row r="25" spans="1:7" hidden="1" outlineLevel="1" x14ac:dyDescent="0.3">
      <c r="A25" s="272"/>
      <c r="B25" s="279"/>
      <c r="C25" s="279"/>
      <c r="D25" s="265"/>
      <c r="E25" s="20"/>
      <c r="F25" s="20"/>
      <c r="G25" s="20"/>
    </row>
    <row r="26" spans="1:7" hidden="1" outlineLevel="1" x14ac:dyDescent="0.3">
      <c r="A26" s="157">
        <v>1</v>
      </c>
      <c r="B26" s="280" t="s">
        <v>38</v>
      </c>
      <c r="C26" s="281"/>
      <c r="D26" s="157" t="s">
        <v>39</v>
      </c>
      <c r="E26" s="20"/>
      <c r="F26" s="20"/>
      <c r="G26" s="20"/>
    </row>
    <row r="27" spans="1:7" hidden="1" outlineLevel="1" x14ac:dyDescent="0.3">
      <c r="A27" s="156" t="s">
        <v>40</v>
      </c>
      <c r="B27" s="158" t="s">
        <v>245</v>
      </c>
      <c r="C27" s="167">
        <v>220</v>
      </c>
      <c r="D27" s="25">
        <f>D20/220*C27</f>
        <v>1664.83</v>
      </c>
      <c r="E27" s="20"/>
      <c r="F27" s="20"/>
      <c r="G27" s="20"/>
    </row>
    <row r="28" spans="1:7" hidden="1" outlineLevel="1" x14ac:dyDescent="0.3">
      <c r="A28" s="156" t="s">
        <v>19</v>
      </c>
      <c r="B28" s="158" t="s">
        <v>223</v>
      </c>
      <c r="C28" s="26">
        <v>0.3</v>
      </c>
      <c r="D28" s="25">
        <f>C28*D27</f>
        <v>499.44899999999996</v>
      </c>
      <c r="E28" s="20"/>
      <c r="F28" s="20"/>
      <c r="G28" s="20"/>
    </row>
    <row r="29" spans="1:7" hidden="1" outlineLevel="1" x14ac:dyDescent="0.3">
      <c r="A29" s="156" t="s">
        <v>20</v>
      </c>
      <c r="B29" s="158" t="s">
        <v>41</v>
      </c>
      <c r="C29" s="26">
        <v>0</v>
      </c>
      <c r="D29" s="25">
        <f>C29*D27</f>
        <v>0</v>
      </c>
      <c r="E29" s="20"/>
      <c r="F29" s="20"/>
      <c r="G29" s="20"/>
    </row>
    <row r="30" spans="1:7" hidden="1" outlineLevel="1" x14ac:dyDescent="0.3">
      <c r="A30" s="156" t="s">
        <v>22</v>
      </c>
      <c r="B30" s="158" t="s">
        <v>225</v>
      </c>
      <c r="C30" s="27">
        <v>15</v>
      </c>
      <c r="D30" s="28">
        <f>(D20/C27*C30)*1.5</f>
        <v>170.26670454545453</v>
      </c>
      <c r="E30" s="20"/>
      <c r="F30" s="20"/>
      <c r="G30" s="20"/>
    </row>
    <row r="31" spans="1:7" hidden="1" outlineLevel="1" x14ac:dyDescent="0.3">
      <c r="A31" s="156" t="s">
        <v>25</v>
      </c>
      <c r="B31" s="158" t="s">
        <v>247</v>
      </c>
      <c r="C31" s="185">
        <f>((D20/220*20%))</f>
        <v>1.5134818181818182</v>
      </c>
      <c r="D31" s="28">
        <f>C31*7*C30</f>
        <v>158.91559090909089</v>
      </c>
      <c r="E31" s="186"/>
      <c r="F31" s="20"/>
      <c r="G31" s="20"/>
    </row>
    <row r="32" spans="1:7" hidden="1" outlineLevel="1" x14ac:dyDescent="0.3">
      <c r="A32" s="156" t="s">
        <v>27</v>
      </c>
      <c r="B32" s="158" t="s">
        <v>246</v>
      </c>
      <c r="C32" s="185">
        <f>(D20/220*(7.5/60))</f>
        <v>0.94592613636363632</v>
      </c>
      <c r="D32" s="28">
        <f>C32*7*C30</f>
        <v>99.322244318181816</v>
      </c>
      <c r="E32" s="187"/>
      <c r="F32" s="20"/>
      <c r="G32" s="20"/>
    </row>
    <row r="33" spans="1:7" hidden="1" outlineLevel="1" x14ac:dyDescent="0.3">
      <c r="A33" s="156" t="s">
        <v>29</v>
      </c>
      <c r="B33" s="85" t="s">
        <v>42</v>
      </c>
      <c r="C33" s="86">
        <v>0</v>
      </c>
      <c r="D33" s="87">
        <v>0</v>
      </c>
      <c r="E33" s="20"/>
      <c r="F33" s="20"/>
      <c r="G33" s="20"/>
    </row>
    <row r="34" spans="1:7" collapsed="1" x14ac:dyDescent="0.3">
      <c r="A34" s="280" t="s">
        <v>43</v>
      </c>
      <c r="B34" s="282"/>
      <c r="C34" s="281"/>
      <c r="D34" s="29">
        <f>SUM(D27:D33)</f>
        <v>2592.7835397727272</v>
      </c>
      <c r="E34" s="20"/>
      <c r="F34" s="20"/>
      <c r="G34" s="20"/>
    </row>
    <row r="35" spans="1:7" x14ac:dyDescent="0.3">
      <c r="A35" s="271"/>
      <c r="B35" s="271"/>
      <c r="C35" s="271"/>
      <c r="D35" s="271"/>
      <c r="E35" s="20"/>
      <c r="F35" s="20"/>
      <c r="G35" s="20"/>
    </row>
    <row r="36" spans="1:7" x14ac:dyDescent="0.3">
      <c r="A36" s="286" t="s">
        <v>44</v>
      </c>
      <c r="B36" s="287"/>
      <c r="C36" s="287"/>
      <c r="D36" s="288"/>
      <c r="E36" s="20"/>
      <c r="F36" s="20"/>
      <c r="G36" s="20"/>
    </row>
    <row r="37" spans="1:7" hidden="1" outlineLevel="1" x14ac:dyDescent="0.3">
      <c r="A37" s="289"/>
      <c r="B37" s="290"/>
      <c r="C37" s="290"/>
      <c r="D37" s="291"/>
      <c r="E37" s="20"/>
      <c r="F37" s="20"/>
      <c r="G37" s="20"/>
    </row>
    <row r="38" spans="1:7" hidden="1" outlineLevel="1" x14ac:dyDescent="0.3">
      <c r="A38" s="30" t="s">
        <v>45</v>
      </c>
      <c r="B38" s="31" t="s">
        <v>46</v>
      </c>
      <c r="C38" s="30" t="s">
        <v>47</v>
      </c>
      <c r="D38" s="30" t="s">
        <v>39</v>
      </c>
      <c r="E38" s="20"/>
      <c r="F38" s="20"/>
      <c r="G38" s="20"/>
    </row>
    <row r="39" spans="1:7" hidden="1" outlineLevel="2" x14ac:dyDescent="0.3">
      <c r="A39" s="32" t="s">
        <v>40</v>
      </c>
      <c r="B39" s="33" t="s">
        <v>48</v>
      </c>
      <c r="C39" s="34">
        <f>1/12</f>
        <v>8.3333333333333329E-2</v>
      </c>
      <c r="D39" s="25">
        <f>C39*D34</f>
        <v>216.06529498106059</v>
      </c>
      <c r="E39" s="20"/>
      <c r="F39" s="20"/>
      <c r="G39" s="20"/>
    </row>
    <row r="40" spans="1:7" hidden="1" outlineLevel="2" x14ac:dyDescent="0.3">
      <c r="A40" s="32" t="s">
        <v>19</v>
      </c>
      <c r="B40" s="33" t="s">
        <v>197</v>
      </c>
      <c r="C40" s="34">
        <f>IF(C12&gt;60,(1/C12/3)*5,IF(C12&gt;48,(1/C12/3)*4,IF(C12&gt;36,(1/C12/3)*3,IF(C12&gt;24,(1/C12/3)*2,IF(C12&gt;12,(1/C12/3)*1,0)))))</f>
        <v>1.3888888888888888E-2</v>
      </c>
      <c r="D40" s="25">
        <f>C40*D34</f>
        <v>36.010882496843429</v>
      </c>
      <c r="E40" s="20"/>
      <c r="F40" s="20"/>
      <c r="G40" s="20"/>
    </row>
    <row r="41" spans="1:7" hidden="1" outlineLevel="2" x14ac:dyDescent="0.3">
      <c r="A41" s="35" t="s">
        <v>120</v>
      </c>
      <c r="B41" s="33" t="s">
        <v>121</v>
      </c>
      <c r="C41" s="162">
        <v>0</v>
      </c>
      <c r="D41" s="122">
        <f>-D40*(1/3)*(C41)</f>
        <v>0</v>
      </c>
      <c r="E41" s="20"/>
      <c r="F41" s="20"/>
      <c r="G41" s="20"/>
    </row>
    <row r="42" spans="1:7" hidden="1" outlineLevel="1" collapsed="1" x14ac:dyDescent="0.3">
      <c r="A42" s="292" t="s">
        <v>14</v>
      </c>
      <c r="B42" s="293"/>
      <c r="C42" s="36">
        <f>SUM(C39:C40)</f>
        <v>9.722222222222221E-2</v>
      </c>
      <c r="D42" s="37">
        <f>SUM(D39:D41)</f>
        <v>252.07617747790403</v>
      </c>
      <c r="E42" s="20"/>
      <c r="F42" s="20"/>
      <c r="G42" s="20"/>
    </row>
    <row r="43" spans="1:7" hidden="1" outlineLevel="1" x14ac:dyDescent="0.3">
      <c r="A43" s="289"/>
      <c r="B43" s="290"/>
      <c r="C43" s="290"/>
      <c r="D43" s="291"/>
      <c r="E43" s="20"/>
      <c r="F43" s="20"/>
      <c r="G43" s="20"/>
    </row>
    <row r="44" spans="1:7" hidden="1" outlineLevel="1" x14ac:dyDescent="0.3">
      <c r="A44" s="30" t="s">
        <v>49</v>
      </c>
      <c r="B44" s="38" t="s">
        <v>50</v>
      </c>
      <c r="C44" s="30" t="s">
        <v>47</v>
      </c>
      <c r="D44" s="39" t="s">
        <v>39</v>
      </c>
      <c r="E44" s="20"/>
      <c r="F44" s="20"/>
      <c r="G44" s="20"/>
    </row>
    <row r="45" spans="1:7" hidden="1" outlineLevel="2" x14ac:dyDescent="0.3">
      <c r="A45" s="159" t="s">
        <v>40</v>
      </c>
      <c r="B45" s="40" t="s">
        <v>51</v>
      </c>
      <c r="C45" s="41">
        <v>0.2</v>
      </c>
      <c r="D45" s="25">
        <f>C45*($D$34+$D$42)</f>
        <v>568.97194345012622</v>
      </c>
      <c r="E45" s="20"/>
      <c r="F45" s="20"/>
      <c r="G45" s="20"/>
    </row>
    <row r="46" spans="1:7" hidden="1" outlineLevel="2" x14ac:dyDescent="0.3">
      <c r="A46" s="159" t="s">
        <v>19</v>
      </c>
      <c r="B46" s="40" t="s">
        <v>52</v>
      </c>
      <c r="C46" s="41">
        <v>2.5000000000000001E-2</v>
      </c>
      <c r="D46" s="25">
        <f t="shared" ref="D46:D52" si="0">C46*($D$34+$D$42)</f>
        <v>71.121492931265777</v>
      </c>
      <c r="E46" s="20"/>
      <c r="F46" s="20"/>
      <c r="G46" s="20"/>
    </row>
    <row r="47" spans="1:7" hidden="1" outlineLevel="2" x14ac:dyDescent="0.3">
      <c r="A47" s="159" t="s">
        <v>20</v>
      </c>
      <c r="B47" s="40" t="s">
        <v>114</v>
      </c>
      <c r="C47" s="161">
        <v>0.03</v>
      </c>
      <c r="D47" s="25">
        <f t="shared" si="0"/>
        <v>85.345791517518933</v>
      </c>
      <c r="E47" s="20"/>
      <c r="F47" s="20"/>
      <c r="G47" s="20"/>
    </row>
    <row r="48" spans="1:7" hidden="1" outlineLevel="2" x14ac:dyDescent="0.3">
      <c r="A48" s="159" t="s">
        <v>22</v>
      </c>
      <c r="B48" s="40" t="s">
        <v>232</v>
      </c>
      <c r="C48" s="41">
        <v>1.4999999999999999E-2</v>
      </c>
      <c r="D48" s="25">
        <f t="shared" si="0"/>
        <v>42.672895758759466</v>
      </c>
      <c r="E48" s="20"/>
      <c r="F48" s="20"/>
      <c r="G48" s="20"/>
    </row>
    <row r="49" spans="1:7" hidden="1" outlineLevel="2" x14ac:dyDescent="0.3">
      <c r="A49" s="159" t="s">
        <v>25</v>
      </c>
      <c r="B49" s="40" t="s">
        <v>233</v>
      </c>
      <c r="C49" s="41">
        <v>0.01</v>
      </c>
      <c r="D49" s="25">
        <f>C49*($D$34+$D$42)</f>
        <v>28.448597172506311</v>
      </c>
      <c r="E49" s="20"/>
      <c r="F49" s="20"/>
      <c r="G49" s="20"/>
    </row>
    <row r="50" spans="1:7" hidden="1" outlineLevel="2" x14ac:dyDescent="0.3">
      <c r="A50" s="159" t="s">
        <v>27</v>
      </c>
      <c r="B50" s="40" t="s">
        <v>53</v>
      </c>
      <c r="C50" s="41">
        <v>6.0000000000000001E-3</v>
      </c>
      <c r="D50" s="25">
        <f>C50*($D$34+$D$42)</f>
        <v>17.069158303503787</v>
      </c>
      <c r="E50" s="20"/>
      <c r="F50" s="20"/>
      <c r="G50" s="20"/>
    </row>
    <row r="51" spans="1:7" hidden="1" outlineLevel="2" x14ac:dyDescent="0.3">
      <c r="A51" s="159" t="s">
        <v>29</v>
      </c>
      <c r="B51" s="40" t="s">
        <v>54</v>
      </c>
      <c r="C51" s="41">
        <v>2E-3</v>
      </c>
      <c r="D51" s="25">
        <f t="shared" si="0"/>
        <v>5.6897194345012627</v>
      </c>
      <c r="E51" s="20"/>
      <c r="F51" s="20"/>
      <c r="G51" s="20"/>
    </row>
    <row r="52" spans="1:7" hidden="1" outlineLevel="2" x14ac:dyDescent="0.3">
      <c r="A52" s="159" t="s">
        <v>55</v>
      </c>
      <c r="B52" s="40" t="s">
        <v>56</v>
      </c>
      <c r="C52" s="41">
        <v>0.08</v>
      </c>
      <c r="D52" s="25">
        <f t="shared" si="0"/>
        <v>227.58877738005049</v>
      </c>
      <c r="E52" s="20"/>
      <c r="F52" s="20"/>
      <c r="G52" s="20"/>
    </row>
    <row r="53" spans="1:7" hidden="1" outlineLevel="1" collapsed="1" x14ac:dyDescent="0.3">
      <c r="A53" s="292" t="s">
        <v>14</v>
      </c>
      <c r="B53" s="293"/>
      <c r="C53" s="42">
        <f>SUM(C45:C52)</f>
        <v>0.36800000000000005</v>
      </c>
      <c r="D53" s="43">
        <f>SUM(D45:D52)</f>
        <v>1046.9083759482321</v>
      </c>
      <c r="E53" s="20"/>
      <c r="F53" s="20"/>
      <c r="G53" s="20"/>
    </row>
    <row r="54" spans="1:7" hidden="1" outlineLevel="1" x14ac:dyDescent="0.3">
      <c r="A54" s="289"/>
      <c r="B54" s="290"/>
      <c r="C54" s="290"/>
      <c r="D54" s="291"/>
      <c r="E54" s="20"/>
      <c r="F54" s="20"/>
      <c r="G54" s="20"/>
    </row>
    <row r="55" spans="1:7" hidden="1" outlineLevel="1" x14ac:dyDescent="0.3">
      <c r="A55" s="30" t="s">
        <v>57</v>
      </c>
      <c r="B55" s="38" t="s">
        <v>58</v>
      </c>
      <c r="C55" s="30" t="s">
        <v>59</v>
      </c>
      <c r="D55" s="30" t="s">
        <v>39</v>
      </c>
      <c r="E55" s="20"/>
      <c r="F55" s="20"/>
      <c r="G55" s="20"/>
    </row>
    <row r="56" spans="1:7" hidden="1" outlineLevel="2" x14ac:dyDescent="0.3">
      <c r="A56" s="159" t="s">
        <v>40</v>
      </c>
      <c r="B56" s="40" t="s">
        <v>60</v>
      </c>
      <c r="C56" s="44">
        <v>4.38</v>
      </c>
      <c r="D56" s="45">
        <f>(C30*2*C56)-(D27*6%)</f>
        <v>31.510200000000012</v>
      </c>
      <c r="E56" s="82"/>
      <c r="F56" s="20"/>
      <c r="G56" s="20"/>
    </row>
    <row r="57" spans="1:7" hidden="1" outlineLevel="2" x14ac:dyDescent="0.3">
      <c r="A57" s="159" t="s">
        <v>19</v>
      </c>
      <c r="B57" s="40" t="s">
        <v>61</v>
      </c>
      <c r="C57" s="83">
        <v>27.6</v>
      </c>
      <c r="D57" s="45">
        <f>C57*C30</f>
        <v>414</v>
      </c>
      <c r="E57" s="20"/>
      <c r="F57" s="20"/>
      <c r="G57" s="20"/>
    </row>
    <row r="58" spans="1:7" hidden="1" outlineLevel="2" x14ac:dyDescent="0.3">
      <c r="A58" s="73" t="s">
        <v>97</v>
      </c>
      <c r="B58" s="40" t="s">
        <v>98</v>
      </c>
      <c r="C58" s="84">
        <v>-0.2</v>
      </c>
      <c r="D58" s="122">
        <f>D57*C58</f>
        <v>-82.800000000000011</v>
      </c>
      <c r="E58" s="20"/>
      <c r="F58" s="20"/>
      <c r="G58" s="20"/>
    </row>
    <row r="59" spans="1:7" hidden="1" outlineLevel="2" x14ac:dyDescent="0.3">
      <c r="A59" s="159" t="s">
        <v>20</v>
      </c>
      <c r="B59" s="176" t="s">
        <v>229</v>
      </c>
      <c r="C59" s="169">
        <v>6.0000000000000001E-3</v>
      </c>
      <c r="D59" s="177">
        <f>C59*D27</f>
        <v>9.9889799999999997</v>
      </c>
      <c r="E59" s="20"/>
      <c r="F59" s="20"/>
      <c r="G59" s="20"/>
    </row>
    <row r="60" spans="1:7" hidden="1" outlineLevel="2" x14ac:dyDescent="0.3">
      <c r="A60" s="159" t="s">
        <v>22</v>
      </c>
      <c r="B60" s="178" t="s">
        <v>228</v>
      </c>
      <c r="C60" s="168">
        <v>14</v>
      </c>
      <c r="D60" s="177">
        <f>C60</f>
        <v>14</v>
      </c>
      <c r="E60" s="20"/>
      <c r="F60" s="20"/>
      <c r="G60" s="20"/>
    </row>
    <row r="61" spans="1:7" hidden="1" outlineLevel="2" x14ac:dyDescent="0.3">
      <c r="A61" s="159" t="s">
        <v>25</v>
      </c>
      <c r="B61" s="176" t="s">
        <v>167</v>
      </c>
      <c r="C61" s="169">
        <v>7.0000000000000007E-2</v>
      </c>
      <c r="D61" s="177">
        <f>C61*D34</f>
        <v>181.49484778409092</v>
      </c>
      <c r="E61" s="20"/>
      <c r="F61" s="20"/>
      <c r="G61" s="20"/>
    </row>
    <row r="62" spans="1:7" hidden="1" outlineLevel="2" x14ac:dyDescent="0.3">
      <c r="A62" s="159" t="s">
        <v>27</v>
      </c>
      <c r="B62" s="176" t="s">
        <v>42</v>
      </c>
      <c r="C62" s="84"/>
      <c r="D62" s="177"/>
      <c r="E62" s="20"/>
      <c r="F62" s="20"/>
      <c r="G62" s="20"/>
    </row>
    <row r="63" spans="1:7" hidden="1" outlineLevel="2" x14ac:dyDescent="0.3">
      <c r="A63" s="159" t="s">
        <v>29</v>
      </c>
      <c r="B63" s="176" t="s">
        <v>42</v>
      </c>
      <c r="C63" s="83"/>
      <c r="D63" s="179">
        <f>C63</f>
        <v>0</v>
      </c>
      <c r="E63" s="20"/>
      <c r="F63" s="20"/>
      <c r="G63" s="20"/>
    </row>
    <row r="64" spans="1:7" hidden="1" outlineLevel="1" collapsed="1" x14ac:dyDescent="0.3">
      <c r="A64" s="292" t="s">
        <v>62</v>
      </c>
      <c r="B64" s="294"/>
      <c r="C64" s="293"/>
      <c r="D64" s="37">
        <f>SUM(D56:D63)</f>
        <v>568.19402778409096</v>
      </c>
      <c r="E64" s="20"/>
      <c r="F64" s="20"/>
      <c r="G64" s="20"/>
    </row>
    <row r="65" spans="1:7" hidden="1" outlineLevel="1" x14ac:dyDescent="0.3">
      <c r="A65" s="289"/>
      <c r="B65" s="290"/>
      <c r="C65" s="290"/>
      <c r="D65" s="291"/>
      <c r="E65" s="20"/>
      <c r="F65" s="20"/>
      <c r="G65" s="20"/>
    </row>
    <row r="66" spans="1:7" hidden="1" outlineLevel="1" x14ac:dyDescent="0.3">
      <c r="A66" s="295" t="s">
        <v>63</v>
      </c>
      <c r="B66" s="296"/>
      <c r="C66" s="30" t="s">
        <v>47</v>
      </c>
      <c r="D66" s="30" t="s">
        <v>39</v>
      </c>
      <c r="E66" s="20"/>
      <c r="F66" s="20"/>
      <c r="G66" s="20"/>
    </row>
    <row r="67" spans="1:7" hidden="1" outlineLevel="1" x14ac:dyDescent="0.3">
      <c r="A67" s="159" t="s">
        <v>64</v>
      </c>
      <c r="B67" s="40" t="s">
        <v>46</v>
      </c>
      <c r="C67" s="46">
        <f>C42</f>
        <v>9.722222222222221E-2</v>
      </c>
      <c r="D67" s="25">
        <f>D42</f>
        <v>252.07617747790403</v>
      </c>
      <c r="E67" s="20"/>
      <c r="F67" s="20"/>
      <c r="G67" s="20"/>
    </row>
    <row r="68" spans="1:7" hidden="1" outlineLevel="1" x14ac:dyDescent="0.3">
      <c r="A68" s="159" t="s">
        <v>49</v>
      </c>
      <c r="B68" s="40" t="s">
        <v>50</v>
      </c>
      <c r="C68" s="46">
        <f>C53</f>
        <v>0.36800000000000005</v>
      </c>
      <c r="D68" s="25">
        <f>D53</f>
        <v>1046.9083759482321</v>
      </c>
      <c r="E68" s="20"/>
      <c r="F68" s="20"/>
      <c r="G68" s="20"/>
    </row>
    <row r="69" spans="1:7" hidden="1" outlineLevel="1" x14ac:dyDescent="0.3">
      <c r="A69" s="159" t="s">
        <v>65</v>
      </c>
      <c r="B69" s="40" t="s">
        <v>58</v>
      </c>
      <c r="C69" s="46">
        <f>D64/D34</f>
        <v>0.21914441335657991</v>
      </c>
      <c r="D69" s="25">
        <f>D64</f>
        <v>568.19402778409096</v>
      </c>
      <c r="E69" s="20"/>
      <c r="F69" s="20"/>
      <c r="G69" s="20"/>
    </row>
    <row r="70" spans="1:7" collapsed="1" x14ac:dyDescent="0.3">
      <c r="A70" s="292" t="s">
        <v>14</v>
      </c>
      <c r="B70" s="294"/>
      <c r="C70" s="293"/>
      <c r="D70" s="37">
        <f>SUM(D67:D69)</f>
        <v>1867.1785812102271</v>
      </c>
      <c r="E70" s="20"/>
      <c r="F70" s="20"/>
      <c r="G70" s="20"/>
    </row>
    <row r="71" spans="1:7" x14ac:dyDescent="0.3">
      <c r="A71" s="289"/>
      <c r="B71" s="290"/>
      <c r="C71" s="290"/>
      <c r="D71" s="291"/>
      <c r="E71" s="20"/>
      <c r="F71" s="20"/>
      <c r="G71" s="20"/>
    </row>
    <row r="72" spans="1:7" x14ac:dyDescent="0.3">
      <c r="A72" s="283" t="s">
        <v>126</v>
      </c>
      <c r="B72" s="284"/>
      <c r="C72" s="284"/>
      <c r="D72" s="285"/>
      <c r="E72" s="20"/>
      <c r="F72" s="20"/>
      <c r="G72" s="20"/>
    </row>
    <row r="73" spans="1:7" hidden="1" outlineLevel="1" x14ac:dyDescent="0.3">
      <c r="A73" s="289"/>
      <c r="B73" s="290"/>
      <c r="C73" s="290"/>
      <c r="D73" s="291"/>
      <c r="E73" s="20"/>
      <c r="F73" s="20"/>
      <c r="G73" s="20"/>
    </row>
    <row r="74" spans="1:7" hidden="1" outlineLevel="1" x14ac:dyDescent="0.3">
      <c r="A74" s="157" t="s">
        <v>129</v>
      </c>
      <c r="B74" s="31" t="s">
        <v>130</v>
      </c>
      <c r="C74" s="30" t="s">
        <v>47</v>
      </c>
      <c r="D74" s="30" t="s">
        <v>39</v>
      </c>
      <c r="E74" s="20"/>
      <c r="F74" s="20"/>
      <c r="G74" s="20"/>
    </row>
    <row r="75" spans="1:7" hidden="1" outlineLevel="2" x14ac:dyDescent="0.3">
      <c r="A75" s="47" t="s">
        <v>40</v>
      </c>
      <c r="B75" s="48" t="s">
        <v>131</v>
      </c>
      <c r="C75" s="47" t="s">
        <v>132</v>
      </c>
      <c r="D75" s="49">
        <f>IF(C86&gt;1,SUM(D76:D79)*2,SUM(D76:D79))</f>
        <v>3653.8081816597228</v>
      </c>
      <c r="E75" s="20"/>
      <c r="F75" s="20"/>
      <c r="G75" s="20"/>
    </row>
    <row r="76" spans="1:7" hidden="1" outlineLevel="2" x14ac:dyDescent="0.3">
      <c r="A76" s="50" t="s">
        <v>128</v>
      </c>
      <c r="B76" s="51" t="s">
        <v>133</v>
      </c>
      <c r="C76" s="47">
        <f>(IF(C12&gt;60,45,IF(C12&gt;48,42,IF(C12&gt;36,39,IF(C12&gt;24,36,IF(C12&gt;12,33,30)))))/30)</f>
        <v>1.1000000000000001</v>
      </c>
      <c r="D76" s="49">
        <f>D34*C76</f>
        <v>2852.0618937500003</v>
      </c>
      <c r="E76" s="20"/>
      <c r="F76" s="20"/>
      <c r="G76" s="20"/>
    </row>
    <row r="77" spans="1:7" hidden="1" outlineLevel="2" x14ac:dyDescent="0.3">
      <c r="A77" s="50" t="s">
        <v>142</v>
      </c>
      <c r="B77" s="51" t="s">
        <v>134</v>
      </c>
      <c r="C77" s="34">
        <f>1/12</f>
        <v>8.3333333333333329E-2</v>
      </c>
      <c r="D77" s="49">
        <f>C77*D76</f>
        <v>237.67182447916667</v>
      </c>
      <c r="E77" s="20"/>
      <c r="F77" s="20"/>
      <c r="G77" s="20"/>
    </row>
    <row r="78" spans="1:7" hidden="1" outlineLevel="2" x14ac:dyDescent="0.3">
      <c r="A78" s="50" t="s">
        <v>143</v>
      </c>
      <c r="B78" s="51" t="s">
        <v>135</v>
      </c>
      <c r="C78" s="34">
        <f>(1/12)+(1/12/3)</f>
        <v>0.1111111111111111</v>
      </c>
      <c r="D78" s="52">
        <f>C78*D76</f>
        <v>316.89576597222225</v>
      </c>
      <c r="E78" s="20"/>
      <c r="F78" s="20"/>
      <c r="G78" s="20"/>
    </row>
    <row r="79" spans="1:7" hidden="1" outlineLevel="2" x14ac:dyDescent="0.3">
      <c r="A79" s="50" t="s">
        <v>144</v>
      </c>
      <c r="B79" s="51" t="s">
        <v>136</v>
      </c>
      <c r="C79" s="53">
        <v>0.08</v>
      </c>
      <c r="D79" s="49">
        <f>SUM(D76:D77)*C79</f>
        <v>247.17869745833337</v>
      </c>
      <c r="E79" s="20"/>
      <c r="F79" s="20"/>
      <c r="G79" s="20"/>
    </row>
    <row r="80" spans="1:7" hidden="1" outlineLevel="2" x14ac:dyDescent="0.3">
      <c r="A80" s="47" t="s">
        <v>19</v>
      </c>
      <c r="B80" s="48" t="s">
        <v>137</v>
      </c>
      <c r="C80" s="54">
        <v>0.4</v>
      </c>
      <c r="D80" s="49">
        <f>C80*D81</f>
        <v>2184.8522628484843</v>
      </c>
      <c r="E80" s="20"/>
      <c r="F80" s="20"/>
      <c r="G80" s="20"/>
    </row>
    <row r="81" spans="1:7" hidden="1" outlineLevel="2" x14ac:dyDescent="0.3">
      <c r="A81" s="47" t="s">
        <v>120</v>
      </c>
      <c r="B81" s="48" t="s">
        <v>138</v>
      </c>
      <c r="C81" s="54">
        <f>C52</f>
        <v>0.08</v>
      </c>
      <c r="D81" s="49">
        <f>C81*D82</f>
        <v>5462.1306571212108</v>
      </c>
      <c r="E81" s="20"/>
      <c r="F81" s="20"/>
      <c r="G81" s="20"/>
    </row>
    <row r="82" spans="1:7" hidden="1" outlineLevel="2" x14ac:dyDescent="0.3">
      <c r="A82" s="47" t="s">
        <v>145</v>
      </c>
      <c r="B82" s="55" t="s">
        <v>102</v>
      </c>
      <c r="C82" s="56" t="s">
        <v>132</v>
      </c>
      <c r="D82" s="52">
        <f>SUM(D83:D85)</f>
        <v>68276.633214015135</v>
      </c>
      <c r="E82" s="20"/>
      <c r="F82" s="20"/>
      <c r="G82" s="20"/>
    </row>
    <row r="83" spans="1:7" hidden="1" outlineLevel="2" x14ac:dyDescent="0.3">
      <c r="A83" s="50" t="s">
        <v>146</v>
      </c>
      <c r="B83" s="51" t="s">
        <v>139</v>
      </c>
      <c r="C83" s="57">
        <f>C12-C85</f>
        <v>23</v>
      </c>
      <c r="D83" s="49">
        <f>D34*C83</f>
        <v>59634.021414772724</v>
      </c>
      <c r="E83" s="20"/>
      <c r="F83" s="20"/>
      <c r="G83" s="20"/>
    </row>
    <row r="84" spans="1:7" hidden="1" outlineLevel="2" x14ac:dyDescent="0.3">
      <c r="A84" s="50" t="s">
        <v>147</v>
      </c>
      <c r="B84" s="51" t="s">
        <v>140</v>
      </c>
      <c r="C84" s="58">
        <f>C12/12</f>
        <v>2</v>
      </c>
      <c r="D84" s="49">
        <f>D34*C84</f>
        <v>5185.5670795454544</v>
      </c>
      <c r="E84" s="20"/>
      <c r="F84" s="20"/>
      <c r="G84" s="20"/>
    </row>
    <row r="85" spans="1:7" hidden="1" outlineLevel="2" x14ac:dyDescent="0.3">
      <c r="A85" s="50" t="s">
        <v>148</v>
      </c>
      <c r="B85" s="51" t="s">
        <v>141</v>
      </c>
      <c r="C85" s="56">
        <f>IF(C12&gt;60,5,IF(C12&gt;48,4,IF(C12&gt;36,3,IF(C12&gt;24,2,IF(C12&gt;12,1,0)))))</f>
        <v>1</v>
      </c>
      <c r="D85" s="52">
        <f>D34*C85*1.33333333333333</f>
        <v>3457.0447196969608</v>
      </c>
      <c r="E85" s="20"/>
      <c r="F85" s="20"/>
      <c r="G85" s="20"/>
    </row>
    <row r="86" spans="1:7" hidden="1" outlineLevel="1" collapsed="1" x14ac:dyDescent="0.3">
      <c r="A86" s="292" t="s">
        <v>14</v>
      </c>
      <c r="B86" s="293"/>
      <c r="C86" s="163">
        <v>0.1</v>
      </c>
      <c r="D86" s="37">
        <f>IF(C86&gt;1,D75+D80,(D75+D80)*C86)</f>
        <v>583.86604445082071</v>
      </c>
      <c r="E86" s="20"/>
      <c r="F86" s="20"/>
      <c r="G86" s="20"/>
    </row>
    <row r="87" spans="1:7" hidden="1" outlineLevel="1" x14ac:dyDescent="0.3">
      <c r="A87" s="297"/>
      <c r="B87" s="298"/>
      <c r="C87" s="298"/>
      <c r="D87" s="299"/>
      <c r="E87" s="20"/>
      <c r="F87" s="20"/>
      <c r="G87" s="20"/>
    </row>
    <row r="88" spans="1:7" hidden="1" outlineLevel="1" x14ac:dyDescent="0.3">
      <c r="A88" s="157" t="s">
        <v>155</v>
      </c>
      <c r="B88" s="31" t="s">
        <v>154</v>
      </c>
      <c r="C88" s="30" t="s">
        <v>47</v>
      </c>
      <c r="D88" s="30" t="s">
        <v>39</v>
      </c>
      <c r="E88" s="20"/>
      <c r="F88" s="20"/>
      <c r="G88" s="20"/>
    </row>
    <row r="89" spans="1:7" hidden="1" outlineLevel="2" x14ac:dyDescent="0.3">
      <c r="A89" s="47" t="s">
        <v>40</v>
      </c>
      <c r="B89" s="55" t="s">
        <v>149</v>
      </c>
      <c r="C89" s="59">
        <f>IF(C98&gt;1,(1/30*7)*2,(1/30*7))</f>
        <v>0.23333333333333334</v>
      </c>
      <c r="D89" s="52">
        <f>C89*SUM(D90:D94)</f>
        <v>1096.3834685304714</v>
      </c>
      <c r="E89" s="20"/>
      <c r="F89" s="20"/>
      <c r="G89" s="20"/>
    </row>
    <row r="90" spans="1:7" hidden="1" outlineLevel="2" x14ac:dyDescent="0.3">
      <c r="A90" s="50" t="s">
        <v>128</v>
      </c>
      <c r="B90" s="51" t="s">
        <v>150</v>
      </c>
      <c r="C90" s="47">
        <v>1</v>
      </c>
      <c r="D90" s="49">
        <f>D34</f>
        <v>2592.7835397727272</v>
      </c>
      <c r="E90" s="20"/>
      <c r="F90" s="20"/>
      <c r="G90" s="20"/>
    </row>
    <row r="91" spans="1:7" hidden="1" outlineLevel="2" x14ac:dyDescent="0.3">
      <c r="A91" s="50" t="s">
        <v>142</v>
      </c>
      <c r="B91" s="51" t="s">
        <v>151</v>
      </c>
      <c r="C91" s="34">
        <f>1/12</f>
        <v>8.3333333333333329E-2</v>
      </c>
      <c r="D91" s="49">
        <f>C91*D90</f>
        <v>216.06529498106059</v>
      </c>
      <c r="E91" s="20"/>
      <c r="F91" s="20"/>
      <c r="G91" s="20"/>
    </row>
    <row r="92" spans="1:7" hidden="1" outlineLevel="2" x14ac:dyDescent="0.3">
      <c r="A92" s="50" t="s">
        <v>143</v>
      </c>
      <c r="B92" s="51" t="s">
        <v>152</v>
      </c>
      <c r="C92" s="34">
        <f>(1/12)+(1/12/3)</f>
        <v>0.1111111111111111</v>
      </c>
      <c r="D92" s="49">
        <f>C92*D90</f>
        <v>288.08705997474743</v>
      </c>
      <c r="E92" s="20"/>
      <c r="F92" s="20"/>
      <c r="G92" s="20"/>
    </row>
    <row r="93" spans="1:7" hidden="1" outlineLevel="2" x14ac:dyDescent="0.3">
      <c r="A93" s="50" t="s">
        <v>144</v>
      </c>
      <c r="B93" s="60" t="s">
        <v>66</v>
      </c>
      <c r="C93" s="61">
        <f>C53</f>
        <v>0.36800000000000005</v>
      </c>
      <c r="D93" s="52">
        <f>C93*(D90+D91)</f>
        <v>1033.6563711893941</v>
      </c>
      <c r="E93" s="20"/>
      <c r="F93" s="20"/>
      <c r="G93" s="20"/>
    </row>
    <row r="94" spans="1:7" hidden="1" outlineLevel="2" x14ac:dyDescent="0.3">
      <c r="A94" s="50" t="s">
        <v>156</v>
      </c>
      <c r="B94" s="60" t="s">
        <v>153</v>
      </c>
      <c r="C94" s="62">
        <v>1</v>
      </c>
      <c r="D94" s="52">
        <f>D64</f>
        <v>568.19402778409096</v>
      </c>
      <c r="E94" s="20"/>
      <c r="F94" s="20"/>
      <c r="G94" s="20"/>
    </row>
    <row r="95" spans="1:7" hidden="1" outlineLevel="2" x14ac:dyDescent="0.3">
      <c r="A95" s="47" t="s">
        <v>19</v>
      </c>
      <c r="B95" s="48" t="s">
        <v>220</v>
      </c>
      <c r="C95" s="54">
        <v>0.4</v>
      </c>
      <c r="D95" s="49">
        <f>C95*D96</f>
        <v>2184.8522628484843</v>
      </c>
      <c r="E95" s="63"/>
      <c r="F95" s="20"/>
      <c r="G95" s="20"/>
    </row>
    <row r="96" spans="1:7" hidden="1" outlineLevel="2" x14ac:dyDescent="0.3">
      <c r="A96" s="47" t="s">
        <v>120</v>
      </c>
      <c r="B96" s="48" t="s">
        <v>138</v>
      </c>
      <c r="C96" s="54">
        <f>C52</f>
        <v>0.08</v>
      </c>
      <c r="D96" s="49">
        <f>C96*D97</f>
        <v>5462.1306571212108</v>
      </c>
      <c r="E96" s="20"/>
      <c r="F96" s="20"/>
      <c r="G96" s="20"/>
    </row>
    <row r="97" spans="1:7" hidden="1" outlineLevel="2" x14ac:dyDescent="0.3">
      <c r="A97" s="47" t="s">
        <v>145</v>
      </c>
      <c r="B97" s="55" t="s">
        <v>102</v>
      </c>
      <c r="C97" s="56" t="s">
        <v>132</v>
      </c>
      <c r="D97" s="52">
        <f>D82</f>
        <v>68276.633214015135</v>
      </c>
      <c r="E97" s="20"/>
      <c r="F97" s="20"/>
      <c r="G97" s="20"/>
    </row>
    <row r="98" spans="1:7" hidden="1" outlineLevel="1" collapsed="1" x14ac:dyDescent="0.3">
      <c r="A98" s="292" t="s">
        <v>14</v>
      </c>
      <c r="B98" s="293"/>
      <c r="C98" s="163">
        <v>0.9</v>
      </c>
      <c r="D98" s="37">
        <f>IF(C98&gt;1,D89+D95,(D89+D95)*C98)</f>
        <v>2953.1121582410601</v>
      </c>
      <c r="E98" s="20"/>
      <c r="F98" s="20"/>
      <c r="G98" s="20"/>
    </row>
    <row r="99" spans="1:7" hidden="1" outlineLevel="1" x14ac:dyDescent="0.3">
      <c r="A99" s="297"/>
      <c r="B99" s="298"/>
      <c r="C99" s="298"/>
      <c r="D99" s="299"/>
      <c r="E99" s="20"/>
      <c r="F99" s="20"/>
      <c r="G99" s="20"/>
    </row>
    <row r="100" spans="1:7" hidden="1" outlineLevel="1" x14ac:dyDescent="0.3">
      <c r="A100" s="157" t="s">
        <v>160</v>
      </c>
      <c r="B100" s="31" t="s">
        <v>165</v>
      </c>
      <c r="C100" s="30" t="s">
        <v>47</v>
      </c>
      <c r="D100" s="30" t="s">
        <v>39</v>
      </c>
      <c r="E100" s="20"/>
      <c r="F100" s="20"/>
      <c r="G100" s="20"/>
    </row>
    <row r="101" spans="1:7" hidden="1" outlineLevel="2" x14ac:dyDescent="0.3">
      <c r="A101" s="159" t="s">
        <v>40</v>
      </c>
      <c r="B101" s="40" t="s">
        <v>162</v>
      </c>
      <c r="C101" s="46">
        <f>IF(C12&gt;60,(D34/12*(C12-60))/C12/D34,IF(C12&gt;48,(D34/12*(C12-48))/C12/D34,IF(C12&gt;36,(D34/12*(C12-36))/C12/D34,IF(C12&gt;24,(D34/12*(C12-24))/C12/D34,IF(C12&gt;12,((D34/12*(C12-12))/C12/D34),1/12)))))</f>
        <v>4.1666666666666664E-2</v>
      </c>
      <c r="D101" s="64">
        <f>C101*D34</f>
        <v>108.03264749053029</v>
      </c>
      <c r="E101" s="20"/>
      <c r="F101" s="20"/>
      <c r="G101" s="20"/>
    </row>
    <row r="102" spans="1:7" hidden="1" outlineLevel="2" x14ac:dyDescent="0.3">
      <c r="A102" s="159" t="s">
        <v>19</v>
      </c>
      <c r="B102" s="65" t="s">
        <v>163</v>
      </c>
      <c r="C102" s="46">
        <f>C101/3</f>
        <v>1.3888888888888888E-2</v>
      </c>
      <c r="D102" s="66">
        <f>C102*D34</f>
        <v>36.010882496843429</v>
      </c>
      <c r="E102" s="20"/>
      <c r="F102" s="20"/>
      <c r="G102" s="20"/>
    </row>
    <row r="103" spans="1:7" hidden="1" outlineLevel="2" x14ac:dyDescent="0.3">
      <c r="A103" s="159" t="s">
        <v>20</v>
      </c>
      <c r="B103" s="67" t="s">
        <v>166</v>
      </c>
      <c r="C103" s="71">
        <f>C41</f>
        <v>0</v>
      </c>
      <c r="D103" s="25">
        <f>-D41*4</f>
        <v>0</v>
      </c>
      <c r="E103" s="20"/>
      <c r="F103" s="20"/>
      <c r="G103" s="20"/>
    </row>
    <row r="104" spans="1:7" ht="15.75" hidden="1" customHeight="1" outlineLevel="1" collapsed="1" x14ac:dyDescent="0.3">
      <c r="A104" s="292" t="s">
        <v>14</v>
      </c>
      <c r="B104" s="293"/>
      <c r="C104" s="36">
        <f>C101+C102+(D103/D34)</f>
        <v>5.5555555555555552E-2</v>
      </c>
      <c r="D104" s="37">
        <f>SUM(D101:D103)</f>
        <v>144.04352998737372</v>
      </c>
      <c r="E104" s="20"/>
      <c r="F104" s="20"/>
      <c r="G104" s="20"/>
    </row>
    <row r="105" spans="1:7" hidden="1" outlineLevel="1" x14ac:dyDescent="0.3">
      <c r="A105" s="297"/>
      <c r="B105" s="298"/>
      <c r="C105" s="298"/>
      <c r="D105" s="299"/>
      <c r="E105" s="63"/>
      <c r="F105" s="20"/>
      <c r="G105" s="20"/>
    </row>
    <row r="106" spans="1:7" hidden="1" outlineLevel="1" x14ac:dyDescent="0.3">
      <c r="A106" s="295" t="s">
        <v>161</v>
      </c>
      <c r="B106" s="296"/>
      <c r="C106" s="30" t="s">
        <v>47</v>
      </c>
      <c r="D106" s="30" t="s">
        <v>39</v>
      </c>
      <c r="E106" s="63"/>
      <c r="F106" s="20"/>
      <c r="G106" s="20"/>
    </row>
    <row r="107" spans="1:7" hidden="1" outlineLevel="1" x14ac:dyDescent="0.3">
      <c r="A107" s="159" t="s">
        <v>129</v>
      </c>
      <c r="B107" s="40" t="s">
        <v>130</v>
      </c>
      <c r="C107" s="46">
        <f>C86</f>
        <v>0.1</v>
      </c>
      <c r="D107" s="25">
        <f>D86</f>
        <v>583.86604445082071</v>
      </c>
      <c r="E107" s="63"/>
      <c r="F107" s="20"/>
      <c r="G107" s="20"/>
    </row>
    <row r="108" spans="1:7" hidden="1" outlineLevel="1" x14ac:dyDescent="0.3">
      <c r="A108" s="32" t="s">
        <v>155</v>
      </c>
      <c r="B108" s="40" t="s">
        <v>154</v>
      </c>
      <c r="C108" s="68">
        <f>C98</f>
        <v>0.9</v>
      </c>
      <c r="D108" s="25">
        <f>D98</f>
        <v>2953.1121582410601</v>
      </c>
      <c r="E108" s="63"/>
      <c r="F108" s="20"/>
      <c r="G108" s="20"/>
    </row>
    <row r="109" spans="1:7" hidden="1" outlineLevel="1" x14ac:dyDescent="0.3">
      <c r="A109" s="300" t="s">
        <v>164</v>
      </c>
      <c r="B109" s="300"/>
      <c r="C109" s="300"/>
      <c r="D109" s="69">
        <f>D107+D108</f>
        <v>3536.9782026918811</v>
      </c>
      <c r="E109" s="63"/>
      <c r="F109" s="20"/>
      <c r="G109" s="20"/>
    </row>
    <row r="110" spans="1:7" hidden="1" outlineLevel="1" x14ac:dyDescent="0.3">
      <c r="A110" s="301" t="s">
        <v>195</v>
      </c>
      <c r="B110" s="302"/>
      <c r="C110" s="164">
        <v>0.71030000000000004</v>
      </c>
      <c r="D110" s="123">
        <f>C110*D109</f>
        <v>2512.3156173720431</v>
      </c>
      <c r="E110" s="63"/>
      <c r="F110" s="20"/>
      <c r="G110" s="20"/>
    </row>
    <row r="111" spans="1:7" hidden="1" outlineLevel="1" x14ac:dyDescent="0.3">
      <c r="A111" s="303" t="s">
        <v>194</v>
      </c>
      <c r="B111" s="304"/>
      <c r="C111" s="172">
        <f>1/C12</f>
        <v>4.1666666666666664E-2</v>
      </c>
      <c r="D111" s="132">
        <f>D110*C111</f>
        <v>104.6798173905018</v>
      </c>
      <c r="E111" s="63"/>
      <c r="F111" s="20"/>
      <c r="G111" s="20"/>
    </row>
    <row r="112" spans="1:7" hidden="1" outlineLevel="1" x14ac:dyDescent="0.3">
      <c r="A112" s="32" t="s">
        <v>160</v>
      </c>
      <c r="B112" s="40" t="s">
        <v>159</v>
      </c>
      <c r="C112" s="68"/>
      <c r="D112" s="122">
        <f>D104</f>
        <v>144.04352998737372</v>
      </c>
      <c r="E112" s="63"/>
      <c r="F112" s="20"/>
      <c r="G112" s="20"/>
    </row>
    <row r="113" spans="1:7" collapsed="1" x14ac:dyDescent="0.3">
      <c r="A113" s="292" t="s">
        <v>67</v>
      </c>
      <c r="B113" s="293"/>
      <c r="C113" s="36"/>
      <c r="D113" s="70">
        <f>D111+D112</f>
        <v>248.72334737787551</v>
      </c>
      <c r="E113" s="20"/>
      <c r="F113" s="20"/>
      <c r="G113" s="20"/>
    </row>
    <row r="114" spans="1:7" x14ac:dyDescent="0.3">
      <c r="A114" s="289"/>
      <c r="B114" s="290"/>
      <c r="C114" s="290"/>
      <c r="D114" s="291"/>
      <c r="E114" s="20"/>
      <c r="F114" s="20"/>
      <c r="G114" s="20"/>
    </row>
    <row r="115" spans="1:7" x14ac:dyDescent="0.3">
      <c r="A115" s="286" t="s">
        <v>68</v>
      </c>
      <c r="B115" s="287"/>
      <c r="C115" s="287"/>
      <c r="D115" s="288"/>
      <c r="E115" s="20"/>
      <c r="F115" s="20"/>
      <c r="G115" s="20"/>
    </row>
    <row r="116" spans="1:7" hidden="1" outlineLevel="1" x14ac:dyDescent="0.3">
      <c r="A116" s="297"/>
      <c r="B116" s="298"/>
      <c r="C116" s="298"/>
      <c r="D116" s="299"/>
      <c r="E116" s="20"/>
      <c r="F116" s="20"/>
      <c r="G116" s="20"/>
    </row>
    <row r="117" spans="1:7" hidden="1" outlineLevel="1" x14ac:dyDescent="0.3">
      <c r="A117" s="30" t="s">
        <v>69</v>
      </c>
      <c r="B117" s="38" t="s">
        <v>124</v>
      </c>
      <c r="C117" s="36" t="s">
        <v>47</v>
      </c>
      <c r="D117" s="30" t="s">
        <v>39</v>
      </c>
      <c r="E117" s="20"/>
      <c r="F117" s="20"/>
      <c r="G117" s="20"/>
    </row>
    <row r="118" spans="1:7" hidden="1" outlineLevel="2" x14ac:dyDescent="0.3">
      <c r="A118" s="159" t="s">
        <v>40</v>
      </c>
      <c r="B118" s="40" t="s">
        <v>70</v>
      </c>
      <c r="C118" s="71">
        <f>IF(C12&gt;60,5/C12,IF(C12&gt;48,4/C12,IF(C12&gt;36,3/C12,IF(C12&gt;24,2/C12,IF(C12&gt;12,1/C12,0)))))</f>
        <v>4.1666666666666664E-2</v>
      </c>
      <c r="D118" s="64">
        <f>C118*(D34+D70+D113)</f>
        <v>196.19522784836789</v>
      </c>
      <c r="E118" s="133"/>
      <c r="F118" s="20"/>
      <c r="G118" s="72"/>
    </row>
    <row r="119" spans="1:7" hidden="1" outlineLevel="2" x14ac:dyDescent="0.3">
      <c r="A119" s="73" t="s">
        <v>128</v>
      </c>
      <c r="B119" s="40" t="s">
        <v>127</v>
      </c>
      <c r="C119" s="71">
        <f>C41</f>
        <v>0</v>
      </c>
      <c r="D119" s="122">
        <f>-D118*(1/3)*(C119)</f>
        <v>0</v>
      </c>
      <c r="E119" s="20"/>
      <c r="F119" s="20"/>
      <c r="G119" s="20"/>
    </row>
    <row r="120" spans="1:7" hidden="1" outlineLevel="1" collapsed="1" x14ac:dyDescent="0.3">
      <c r="A120" s="292" t="s">
        <v>158</v>
      </c>
      <c r="B120" s="293"/>
      <c r="C120" s="36">
        <f>C118+(D119/D34)</f>
        <v>4.1666666666666664E-2</v>
      </c>
      <c r="D120" s="37">
        <f>SUM(D118:D119)</f>
        <v>196.19522784836789</v>
      </c>
      <c r="E120" s="20"/>
      <c r="F120" s="20"/>
      <c r="G120" s="20"/>
    </row>
    <row r="121" spans="1:7" hidden="1" outlineLevel="1" x14ac:dyDescent="0.3">
      <c r="A121" s="297"/>
      <c r="B121" s="298"/>
      <c r="C121" s="298"/>
      <c r="D121" s="299"/>
      <c r="E121" s="20"/>
      <c r="F121" s="20"/>
      <c r="G121" s="20"/>
    </row>
    <row r="122" spans="1:7" hidden="1" outlineLevel="1" x14ac:dyDescent="0.3">
      <c r="A122" s="30" t="s">
        <v>123</v>
      </c>
      <c r="B122" s="38" t="s">
        <v>125</v>
      </c>
      <c r="C122" s="36" t="s">
        <v>47</v>
      </c>
      <c r="D122" s="30" t="s">
        <v>39</v>
      </c>
      <c r="E122" s="20"/>
      <c r="F122" s="20"/>
      <c r="G122" s="20"/>
    </row>
    <row r="123" spans="1:7" hidden="1" outlineLevel="2" x14ac:dyDescent="0.3">
      <c r="A123" s="159" t="s">
        <v>40</v>
      </c>
      <c r="B123" s="149" t="s">
        <v>122</v>
      </c>
      <c r="C123" s="165">
        <v>1.35E-2</v>
      </c>
      <c r="D123" s="64">
        <f t="shared" ref="D123:D128" si="1">C123*($D$64+$D$113+$D$34)</f>
        <v>46.030962351618363</v>
      </c>
      <c r="E123" s="20"/>
      <c r="F123" s="20"/>
      <c r="G123" s="72"/>
    </row>
    <row r="124" spans="1:7" hidden="1" outlineLevel="2" x14ac:dyDescent="0.3">
      <c r="A124" s="159" t="s">
        <v>19</v>
      </c>
      <c r="B124" s="40" t="s">
        <v>104</v>
      </c>
      <c r="C124" s="180">
        <v>1.66E-2</v>
      </c>
      <c r="D124" s="64">
        <f t="shared" si="1"/>
        <v>56.601035187915912</v>
      </c>
      <c r="E124" s="20"/>
      <c r="F124" s="20"/>
      <c r="G124" s="72"/>
    </row>
    <row r="125" spans="1:7" hidden="1" outlineLevel="2" x14ac:dyDescent="0.3">
      <c r="A125" s="159" t="s">
        <v>20</v>
      </c>
      <c r="B125" s="40" t="s">
        <v>105</v>
      </c>
      <c r="C125" s="180">
        <v>2.7000000000000001E-3</v>
      </c>
      <c r="D125" s="64">
        <f t="shared" si="1"/>
        <v>9.206192470323673</v>
      </c>
      <c r="E125" s="20"/>
      <c r="F125" s="20"/>
      <c r="G125" s="72"/>
    </row>
    <row r="126" spans="1:7" hidden="1" outlineLevel="2" x14ac:dyDescent="0.3">
      <c r="A126" s="159" t="s">
        <v>22</v>
      </c>
      <c r="B126" s="40" t="s">
        <v>103</v>
      </c>
      <c r="C126" s="180">
        <v>2.8E-3</v>
      </c>
      <c r="D126" s="64">
        <f t="shared" si="1"/>
        <v>9.5471625618171423</v>
      </c>
      <c r="E126" s="20"/>
      <c r="F126" s="20"/>
      <c r="G126" s="20"/>
    </row>
    <row r="127" spans="1:7" hidden="1" outlineLevel="2" x14ac:dyDescent="0.3">
      <c r="A127" s="159" t="s">
        <v>25</v>
      </c>
      <c r="B127" s="40" t="s">
        <v>71</v>
      </c>
      <c r="C127" s="180">
        <v>2.0000000000000001E-4</v>
      </c>
      <c r="D127" s="64">
        <f t="shared" si="1"/>
        <v>0.6819401829869387</v>
      </c>
      <c r="E127" s="20"/>
      <c r="F127" s="20"/>
      <c r="G127" s="20"/>
    </row>
    <row r="128" spans="1:7" hidden="1" outlineLevel="2" x14ac:dyDescent="0.3">
      <c r="A128" s="159" t="s">
        <v>27</v>
      </c>
      <c r="B128" s="40" t="s">
        <v>72</v>
      </c>
      <c r="C128" s="180">
        <v>2.9999999999999997E-4</v>
      </c>
      <c r="D128" s="64">
        <f t="shared" si="1"/>
        <v>1.0229102744804079</v>
      </c>
      <c r="E128" s="20"/>
      <c r="F128" s="20"/>
      <c r="G128" s="20"/>
    </row>
    <row r="129" spans="1:7" hidden="1" outlineLevel="1" collapsed="1" x14ac:dyDescent="0.3">
      <c r="A129" s="292" t="s">
        <v>158</v>
      </c>
      <c r="B129" s="293"/>
      <c r="C129" s="36">
        <f>SUM(C123:C128)</f>
        <v>3.61E-2</v>
      </c>
      <c r="D129" s="37">
        <f>SUM(D123:D128)</f>
        <v>123.09020302914243</v>
      </c>
      <c r="E129" s="20"/>
      <c r="F129" s="20"/>
      <c r="G129" s="20"/>
    </row>
    <row r="130" spans="1:7" hidden="1" outlineLevel="1" x14ac:dyDescent="0.3">
      <c r="A130" s="297"/>
      <c r="B130" s="298"/>
      <c r="C130" s="298"/>
      <c r="D130" s="299"/>
      <c r="E130" s="20"/>
      <c r="F130" s="20"/>
      <c r="G130" s="20"/>
    </row>
    <row r="131" spans="1:7" hidden="1" outlineLevel="1" x14ac:dyDescent="0.3">
      <c r="A131" s="295" t="s">
        <v>157</v>
      </c>
      <c r="B131" s="296"/>
      <c r="C131" s="30" t="s">
        <v>47</v>
      </c>
      <c r="D131" s="30" t="s">
        <v>39</v>
      </c>
      <c r="E131" s="20"/>
      <c r="F131" s="20"/>
      <c r="G131" s="20"/>
    </row>
    <row r="132" spans="1:7" hidden="1" outlineLevel="1" x14ac:dyDescent="0.3">
      <c r="A132" s="159" t="s">
        <v>69</v>
      </c>
      <c r="B132" s="40" t="s">
        <v>124</v>
      </c>
      <c r="C132" s="46"/>
      <c r="D132" s="98">
        <f>D120</f>
        <v>196.19522784836789</v>
      </c>
      <c r="E132" s="20"/>
      <c r="F132" s="20"/>
      <c r="G132" s="20"/>
    </row>
    <row r="133" spans="1:7" hidden="1" outlineLevel="1" x14ac:dyDescent="0.3">
      <c r="A133" s="159" t="s">
        <v>123</v>
      </c>
      <c r="B133" s="40" t="s">
        <v>125</v>
      </c>
      <c r="C133" s="46"/>
      <c r="D133" s="98">
        <f>D129</f>
        <v>123.09020302914243</v>
      </c>
      <c r="E133" s="20"/>
      <c r="F133" s="20"/>
      <c r="G133" s="20"/>
    </row>
    <row r="134" spans="1:7" collapsed="1" x14ac:dyDescent="0.3">
      <c r="A134" s="292" t="s">
        <v>14</v>
      </c>
      <c r="B134" s="294"/>
      <c r="C134" s="293"/>
      <c r="D134" s="99">
        <f>SUM(D132:D133)</f>
        <v>319.28543087751029</v>
      </c>
      <c r="E134" s="20"/>
      <c r="F134" s="20"/>
      <c r="G134" s="20"/>
    </row>
    <row r="135" spans="1:7" x14ac:dyDescent="0.3">
      <c r="A135" s="297"/>
      <c r="B135" s="298"/>
      <c r="C135" s="298"/>
      <c r="D135" s="299"/>
      <c r="E135" s="20"/>
      <c r="F135" s="20"/>
      <c r="G135" s="20"/>
    </row>
    <row r="136" spans="1:7" x14ac:dyDescent="0.3">
      <c r="A136" s="286" t="s">
        <v>73</v>
      </c>
      <c r="B136" s="287"/>
      <c r="C136" s="287"/>
      <c r="D136" s="288"/>
      <c r="E136" s="20"/>
      <c r="F136" s="20"/>
      <c r="G136" s="20"/>
    </row>
    <row r="137" spans="1:7" hidden="1" outlineLevel="1" x14ac:dyDescent="0.3">
      <c r="A137" s="297"/>
      <c r="B137" s="298"/>
      <c r="C137" s="298"/>
      <c r="D137" s="299"/>
      <c r="E137" s="20"/>
      <c r="F137" s="20"/>
      <c r="G137" s="20"/>
    </row>
    <row r="138" spans="1:7" hidden="1" outlineLevel="1" x14ac:dyDescent="0.3">
      <c r="A138" s="157">
        <v>5</v>
      </c>
      <c r="B138" s="292" t="s">
        <v>248</v>
      </c>
      <c r="C138" s="293"/>
      <c r="D138" s="30" t="s">
        <v>39</v>
      </c>
      <c r="E138" s="20"/>
      <c r="F138" s="20"/>
      <c r="G138" s="20"/>
    </row>
    <row r="139" spans="1:7" hidden="1" outlineLevel="1" x14ac:dyDescent="0.3">
      <c r="A139" s="159" t="s">
        <v>40</v>
      </c>
      <c r="B139" s="308" t="s">
        <v>249</v>
      </c>
      <c r="C139" s="309"/>
      <c r="D139" s="95">
        <f>INSUMOS!H17</f>
        <v>53.838916666666663</v>
      </c>
      <c r="E139" s="20"/>
      <c r="F139" s="20"/>
      <c r="G139" s="20"/>
    </row>
    <row r="140" spans="1:7" hidden="1" outlineLevel="1" x14ac:dyDescent="0.3">
      <c r="A140" s="159" t="s">
        <v>19</v>
      </c>
      <c r="B140" s="308" t="s">
        <v>269</v>
      </c>
      <c r="C140" s="309"/>
      <c r="D140" s="74">
        <f>INSUMOS!H39</f>
        <v>23.641805555555553</v>
      </c>
      <c r="E140" s="20"/>
      <c r="F140" s="20"/>
      <c r="G140" s="20"/>
    </row>
    <row r="141" spans="1:7" hidden="1" outlineLevel="1" x14ac:dyDescent="0.3">
      <c r="A141" s="159" t="s">
        <v>20</v>
      </c>
      <c r="B141" s="310" t="s">
        <v>268</v>
      </c>
      <c r="C141" s="311"/>
      <c r="D141" s="181">
        <f>INSUMOS!H48</f>
        <v>25</v>
      </c>
      <c r="E141" s="20"/>
      <c r="F141" s="20"/>
      <c r="G141" s="20"/>
    </row>
    <row r="142" spans="1:7" hidden="1" outlineLevel="1" x14ac:dyDescent="0.3">
      <c r="A142" s="159" t="s">
        <v>25</v>
      </c>
      <c r="B142" s="312" t="s">
        <v>42</v>
      </c>
      <c r="C142" s="313"/>
      <c r="D142" s="96">
        <v>0</v>
      </c>
      <c r="E142" s="20"/>
      <c r="F142" s="20"/>
      <c r="G142" s="20"/>
    </row>
    <row r="143" spans="1:7" collapsed="1" x14ac:dyDescent="0.3">
      <c r="A143" s="292" t="s">
        <v>74</v>
      </c>
      <c r="B143" s="294"/>
      <c r="C143" s="293"/>
      <c r="D143" s="97">
        <f>SUM(D139:D142)</f>
        <v>102.48072222222221</v>
      </c>
      <c r="E143" s="20"/>
      <c r="F143" s="20"/>
      <c r="G143" s="20"/>
    </row>
    <row r="144" spans="1:7" x14ac:dyDescent="0.3">
      <c r="A144" s="289"/>
      <c r="B144" s="290"/>
      <c r="C144" s="290"/>
      <c r="D144" s="291"/>
      <c r="E144" s="20"/>
      <c r="F144" s="20"/>
      <c r="G144" s="20"/>
    </row>
    <row r="145" spans="1:7" x14ac:dyDescent="0.3">
      <c r="A145" s="314" t="s">
        <v>75</v>
      </c>
      <c r="B145" s="314"/>
      <c r="C145" s="314"/>
      <c r="D145" s="160">
        <f>D34+D70+D113+D134+D143</f>
        <v>5130.4516214605628</v>
      </c>
      <c r="E145" s="20"/>
      <c r="F145" s="20"/>
      <c r="G145" s="20"/>
    </row>
    <row r="146" spans="1:7" x14ac:dyDescent="0.3">
      <c r="A146" s="271"/>
      <c r="B146" s="271"/>
      <c r="C146" s="271"/>
      <c r="D146" s="271"/>
      <c r="E146" s="20"/>
      <c r="F146" s="20"/>
      <c r="G146" s="20"/>
    </row>
    <row r="147" spans="1:7" x14ac:dyDescent="0.3">
      <c r="A147" s="315" t="s">
        <v>76</v>
      </c>
      <c r="B147" s="315"/>
      <c r="C147" s="315"/>
      <c r="D147" s="315"/>
      <c r="E147" s="20"/>
      <c r="F147" s="20"/>
      <c r="G147" s="20"/>
    </row>
    <row r="148" spans="1:7" hidden="1" outlineLevel="1" x14ac:dyDescent="0.3">
      <c r="A148" s="316"/>
      <c r="B148" s="317"/>
      <c r="C148" s="317"/>
      <c r="D148" s="318"/>
      <c r="E148" s="20"/>
      <c r="F148" s="20"/>
      <c r="G148" s="20"/>
    </row>
    <row r="149" spans="1:7" hidden="1" outlineLevel="1" x14ac:dyDescent="0.3">
      <c r="A149" s="157">
        <v>6</v>
      </c>
      <c r="B149" s="38" t="s">
        <v>77</v>
      </c>
      <c r="C149" s="30" t="s">
        <v>47</v>
      </c>
      <c r="D149" s="30" t="s">
        <v>39</v>
      </c>
      <c r="E149" s="20"/>
      <c r="F149" s="20"/>
      <c r="G149" s="20"/>
    </row>
    <row r="150" spans="1:7" hidden="1" outlineLevel="1" x14ac:dyDescent="0.3">
      <c r="A150" s="159" t="s">
        <v>40</v>
      </c>
      <c r="B150" s="40" t="s">
        <v>78</v>
      </c>
      <c r="C150" s="166">
        <v>5.6599999999999998E-2</v>
      </c>
      <c r="D150" s="28">
        <f>C150*D145</f>
        <v>290.38356177466784</v>
      </c>
      <c r="E150" s="20"/>
      <c r="F150" s="20"/>
      <c r="G150" s="20"/>
    </row>
    <row r="151" spans="1:7" hidden="1" outlineLevel="1" x14ac:dyDescent="0.3">
      <c r="A151" s="305" t="s">
        <v>4</v>
      </c>
      <c r="B151" s="306"/>
      <c r="C151" s="307"/>
      <c r="D151" s="28">
        <f>D145+D150</f>
        <v>5420.8351832352309</v>
      </c>
      <c r="E151" s="20"/>
      <c r="F151" s="20"/>
      <c r="G151" s="20"/>
    </row>
    <row r="152" spans="1:7" hidden="1" outlineLevel="1" x14ac:dyDescent="0.3">
      <c r="A152" s="159" t="s">
        <v>19</v>
      </c>
      <c r="B152" s="40" t="s">
        <v>79</v>
      </c>
      <c r="C152" s="166">
        <v>5.62E-2</v>
      </c>
      <c r="D152" s="28">
        <f>C152*D151</f>
        <v>304.65093729781995</v>
      </c>
      <c r="E152" s="20"/>
      <c r="F152" s="20"/>
      <c r="G152" s="20"/>
    </row>
    <row r="153" spans="1:7" hidden="1" outlineLevel="1" x14ac:dyDescent="0.3">
      <c r="A153" s="305" t="s">
        <v>4</v>
      </c>
      <c r="B153" s="306"/>
      <c r="C153" s="306"/>
      <c r="D153" s="28">
        <f>D152+D151</f>
        <v>5725.4861205330508</v>
      </c>
      <c r="E153" s="20"/>
      <c r="F153" s="20"/>
      <c r="G153" s="20"/>
    </row>
    <row r="154" spans="1:7" hidden="1" outlineLevel="1" x14ac:dyDescent="0.3">
      <c r="A154" s="159" t="s">
        <v>20</v>
      </c>
      <c r="B154" s="310" t="s">
        <v>80</v>
      </c>
      <c r="C154" s="319"/>
      <c r="D154" s="311"/>
      <c r="E154" s="20"/>
      <c r="F154" s="20"/>
      <c r="G154" s="20"/>
    </row>
    <row r="155" spans="1:7" hidden="1" outlineLevel="1" x14ac:dyDescent="0.3">
      <c r="A155" s="88"/>
      <c r="B155" s="158" t="s">
        <v>81</v>
      </c>
      <c r="C155" s="166">
        <v>6.4999999999999997E-3</v>
      </c>
      <c r="D155" s="28">
        <f>(D153/(1-C158)*C155)</f>
        <v>39.654405736243824</v>
      </c>
      <c r="E155" s="20"/>
      <c r="F155" s="20"/>
      <c r="G155" s="20"/>
    </row>
    <row r="156" spans="1:7" hidden="1" outlineLevel="1" x14ac:dyDescent="0.3">
      <c r="A156" s="88"/>
      <c r="B156" s="158" t="s">
        <v>82</v>
      </c>
      <c r="C156" s="166">
        <v>0.03</v>
      </c>
      <c r="D156" s="28">
        <f>(D153/(1-C158)*C156)</f>
        <v>183.0203341672792</v>
      </c>
      <c r="E156" s="20"/>
      <c r="F156" s="20"/>
      <c r="G156" s="20"/>
    </row>
    <row r="157" spans="1:7" hidden="1" outlineLevel="1" x14ac:dyDescent="0.3">
      <c r="A157" s="88"/>
      <c r="B157" s="158" t="s">
        <v>238</v>
      </c>
      <c r="C157" s="75">
        <v>2.5000000000000001E-2</v>
      </c>
      <c r="D157" s="28">
        <f>(D153/(1-C158)*C157)</f>
        <v>152.51694513939933</v>
      </c>
      <c r="E157" s="20"/>
      <c r="F157" s="20"/>
      <c r="G157" s="20"/>
    </row>
    <row r="158" spans="1:7" hidden="1" outlineLevel="1" x14ac:dyDescent="0.3">
      <c r="A158" s="305" t="s">
        <v>83</v>
      </c>
      <c r="B158" s="307"/>
      <c r="C158" s="76">
        <f>SUM(C155:C157)</f>
        <v>6.1499999999999999E-2</v>
      </c>
      <c r="D158" s="28">
        <f>SUM(D155:D157)</f>
        <v>375.19168504292236</v>
      </c>
      <c r="E158" s="20"/>
      <c r="F158" s="20"/>
      <c r="G158" s="20"/>
    </row>
    <row r="159" spans="1:7" collapsed="1" x14ac:dyDescent="0.3">
      <c r="A159" s="292" t="s">
        <v>84</v>
      </c>
      <c r="B159" s="293"/>
      <c r="C159" s="77">
        <f>SUM(C150+C152+C158)</f>
        <v>0.17430000000000001</v>
      </c>
      <c r="D159" s="29">
        <f>SUM(D158+D150+D152)</f>
        <v>970.22618411541009</v>
      </c>
      <c r="E159" s="20"/>
      <c r="F159" s="20"/>
      <c r="G159" s="20"/>
    </row>
    <row r="160" spans="1:7" x14ac:dyDescent="0.3">
      <c r="A160" s="289"/>
      <c r="B160" s="290"/>
      <c r="C160" s="290"/>
      <c r="D160" s="291"/>
      <c r="E160" s="20"/>
      <c r="F160" s="20"/>
      <c r="G160" s="20"/>
    </row>
    <row r="161" spans="1:7" x14ac:dyDescent="0.3">
      <c r="A161" s="280" t="s">
        <v>85</v>
      </c>
      <c r="B161" s="282"/>
      <c r="C161" s="281"/>
      <c r="D161" s="78" t="s">
        <v>39</v>
      </c>
      <c r="E161" s="20"/>
      <c r="F161" s="20"/>
      <c r="G161" s="20"/>
    </row>
    <row r="162" spans="1:7" x14ac:dyDescent="0.3">
      <c r="A162" s="275" t="s">
        <v>86</v>
      </c>
      <c r="B162" s="320"/>
      <c r="C162" s="320"/>
      <c r="D162" s="276"/>
      <c r="E162" s="20"/>
      <c r="F162" s="20"/>
      <c r="G162" s="20"/>
    </row>
    <row r="163" spans="1:7" x14ac:dyDescent="0.3">
      <c r="A163" s="156" t="s">
        <v>40</v>
      </c>
      <c r="B163" s="275" t="s">
        <v>87</v>
      </c>
      <c r="C163" s="276"/>
      <c r="D163" s="25">
        <f>D34</f>
        <v>2592.7835397727272</v>
      </c>
      <c r="E163" s="20"/>
      <c r="F163" s="20"/>
      <c r="G163" s="20"/>
    </row>
    <row r="164" spans="1:7" x14ac:dyDescent="0.3">
      <c r="A164" s="156" t="s">
        <v>19</v>
      </c>
      <c r="B164" s="275" t="s">
        <v>88</v>
      </c>
      <c r="C164" s="276"/>
      <c r="D164" s="25">
        <f>D70</f>
        <v>1867.1785812102271</v>
      </c>
      <c r="E164" s="20"/>
      <c r="F164" s="20"/>
      <c r="G164" s="20"/>
    </row>
    <row r="165" spans="1:7" x14ac:dyDescent="0.3">
      <c r="A165" s="156" t="s">
        <v>20</v>
      </c>
      <c r="B165" s="275" t="s">
        <v>89</v>
      </c>
      <c r="C165" s="276"/>
      <c r="D165" s="25">
        <f>D113</f>
        <v>248.72334737787551</v>
      </c>
      <c r="E165" s="20"/>
      <c r="F165" s="20"/>
      <c r="G165" s="20"/>
    </row>
    <row r="166" spans="1:7" x14ac:dyDescent="0.3">
      <c r="A166" s="156" t="s">
        <v>22</v>
      </c>
      <c r="B166" s="275" t="s">
        <v>90</v>
      </c>
      <c r="C166" s="276"/>
      <c r="D166" s="25">
        <f>D134</f>
        <v>319.28543087751029</v>
      </c>
      <c r="E166" s="20"/>
      <c r="F166" s="20"/>
      <c r="G166" s="20"/>
    </row>
    <row r="167" spans="1:7" x14ac:dyDescent="0.3">
      <c r="A167" s="156" t="s">
        <v>25</v>
      </c>
      <c r="B167" s="275" t="s">
        <v>91</v>
      </c>
      <c r="C167" s="276"/>
      <c r="D167" s="25">
        <f>D143</f>
        <v>102.48072222222221</v>
      </c>
      <c r="E167" s="20"/>
      <c r="F167" s="20"/>
      <c r="G167" s="20"/>
    </row>
    <row r="168" spans="1:7" x14ac:dyDescent="0.3">
      <c r="A168" s="321" t="s">
        <v>92</v>
      </c>
      <c r="B168" s="322"/>
      <c r="C168" s="323"/>
      <c r="D168" s="25">
        <f>SUM(D163:D167)</f>
        <v>5130.4516214605628</v>
      </c>
      <c r="E168" s="20"/>
      <c r="F168" s="20"/>
      <c r="G168" s="20"/>
    </row>
    <row r="169" spans="1:7" x14ac:dyDescent="0.3">
      <c r="A169" s="156" t="s">
        <v>93</v>
      </c>
      <c r="B169" s="275" t="s">
        <v>94</v>
      </c>
      <c r="C169" s="276"/>
      <c r="D169" s="25">
        <f>D159</f>
        <v>970.22618411541009</v>
      </c>
      <c r="E169" s="20"/>
      <c r="F169" s="20"/>
      <c r="G169" s="20"/>
    </row>
    <row r="170" spans="1:7" x14ac:dyDescent="0.3">
      <c r="A170" s="280" t="s">
        <v>95</v>
      </c>
      <c r="B170" s="282"/>
      <c r="C170" s="281"/>
      <c r="D170" s="124">
        <f xml:space="preserve"> D168+D169</f>
        <v>6100.6778055759733</v>
      </c>
      <c r="E170" s="20"/>
      <c r="F170" s="20"/>
      <c r="G170" s="20"/>
    </row>
    <row r="171" spans="1:7" x14ac:dyDescent="0.3">
      <c r="A171" s="20"/>
      <c r="B171" s="20"/>
      <c r="C171" s="20"/>
      <c r="D171" s="20"/>
      <c r="E171" s="20"/>
      <c r="F171" s="20"/>
      <c r="G171" s="20"/>
    </row>
    <row r="172" spans="1:7" x14ac:dyDescent="0.3">
      <c r="A172" s="324" t="s">
        <v>3</v>
      </c>
      <c r="B172" s="325"/>
      <c r="C172" s="326"/>
      <c r="D172" s="79" t="s">
        <v>2</v>
      </c>
      <c r="E172" s="20"/>
      <c r="F172" s="20"/>
      <c r="G172" s="20"/>
    </row>
    <row r="173" spans="1:7" x14ac:dyDescent="0.3">
      <c r="A173" s="327" t="s">
        <v>113</v>
      </c>
      <c r="B173" s="328"/>
      <c r="C173" s="329"/>
      <c r="D173" s="80">
        <f>C17</f>
        <v>2</v>
      </c>
      <c r="E173" s="20"/>
      <c r="F173" s="20"/>
      <c r="G173" s="20"/>
    </row>
    <row r="174" spans="1:7" x14ac:dyDescent="0.3">
      <c r="A174" s="327" t="s">
        <v>0</v>
      </c>
      <c r="B174" s="328"/>
      <c r="C174" s="329"/>
      <c r="D174" s="90">
        <f>D173*D170</f>
        <v>12201.355611151947</v>
      </c>
      <c r="E174" s="20"/>
      <c r="F174" s="20"/>
      <c r="G174" s="20"/>
    </row>
    <row r="175" spans="1:7" x14ac:dyDescent="0.3">
      <c r="A175" s="20"/>
      <c r="B175" s="20"/>
      <c r="C175" s="20"/>
      <c r="D175" s="20"/>
      <c r="E175" s="20"/>
      <c r="F175" s="20"/>
      <c r="G175" s="20"/>
    </row>
    <row r="176" spans="1:7" x14ac:dyDescent="0.3">
      <c r="A176" s="20"/>
      <c r="B176" s="20"/>
      <c r="C176" s="20"/>
      <c r="D176" s="20"/>
      <c r="E176" s="20"/>
      <c r="F176" s="20"/>
      <c r="G176" s="20"/>
    </row>
  </sheetData>
  <mergeCells count="96">
    <mergeCell ref="C10:D10"/>
    <mergeCell ref="A1:D1"/>
    <mergeCell ref="A2:B2"/>
    <mergeCell ref="C2:D2"/>
    <mergeCell ref="A3:B3"/>
    <mergeCell ref="C3:D3"/>
    <mergeCell ref="A4:D4"/>
    <mergeCell ref="A5:D5"/>
    <mergeCell ref="C6:D6"/>
    <mergeCell ref="C7:D7"/>
    <mergeCell ref="C8:D8"/>
    <mergeCell ref="C9:D9"/>
    <mergeCell ref="B22:C22"/>
    <mergeCell ref="C11:D11"/>
    <mergeCell ref="C12:D12"/>
    <mergeCell ref="A13:D13"/>
    <mergeCell ref="A14:D14"/>
    <mergeCell ref="A15:D15"/>
    <mergeCell ref="C16:D16"/>
    <mergeCell ref="C17:D17"/>
    <mergeCell ref="C18:D18"/>
    <mergeCell ref="A19:D19"/>
    <mergeCell ref="B20:C20"/>
    <mergeCell ref="B21:C21"/>
    <mergeCell ref="A54:D54"/>
    <mergeCell ref="A23:D23"/>
    <mergeCell ref="A24:D24"/>
    <mergeCell ref="A25:D25"/>
    <mergeCell ref="B26:C26"/>
    <mergeCell ref="A34:C34"/>
    <mergeCell ref="A35:D35"/>
    <mergeCell ref="A36:D36"/>
    <mergeCell ref="A37:D37"/>
    <mergeCell ref="A42:B42"/>
    <mergeCell ref="A43:D43"/>
    <mergeCell ref="A53:B53"/>
    <mergeCell ref="A104:B104"/>
    <mergeCell ref="A64:C64"/>
    <mergeCell ref="A65:D65"/>
    <mergeCell ref="A66:B66"/>
    <mergeCell ref="A70:C70"/>
    <mergeCell ref="A71:D71"/>
    <mergeCell ref="A72:D72"/>
    <mergeCell ref="A73:D73"/>
    <mergeCell ref="A86:B86"/>
    <mergeCell ref="A87:D87"/>
    <mergeCell ref="A98:B98"/>
    <mergeCell ref="A99:D99"/>
    <mergeCell ref="A129:B129"/>
    <mergeCell ref="A105:D105"/>
    <mergeCell ref="A106:B106"/>
    <mergeCell ref="A109:C109"/>
    <mergeCell ref="A110:B110"/>
    <mergeCell ref="A111:B111"/>
    <mergeCell ref="A113:B113"/>
    <mergeCell ref="A114:D114"/>
    <mergeCell ref="A115:D115"/>
    <mergeCell ref="A116:D116"/>
    <mergeCell ref="A120:B120"/>
    <mergeCell ref="A121:D121"/>
    <mergeCell ref="A143:C143"/>
    <mergeCell ref="A130:D130"/>
    <mergeCell ref="A131:B131"/>
    <mergeCell ref="A134:C134"/>
    <mergeCell ref="A135:D135"/>
    <mergeCell ref="A136:D136"/>
    <mergeCell ref="A137:D137"/>
    <mergeCell ref="B138:C138"/>
    <mergeCell ref="B139:C139"/>
    <mergeCell ref="B140:C140"/>
    <mergeCell ref="B141:C141"/>
    <mergeCell ref="B142:C142"/>
    <mergeCell ref="A161:C161"/>
    <mergeCell ref="A144:D144"/>
    <mergeCell ref="A145:C145"/>
    <mergeCell ref="A146:D146"/>
    <mergeCell ref="A147:D147"/>
    <mergeCell ref="A148:D148"/>
    <mergeCell ref="A151:C151"/>
    <mergeCell ref="A153:C153"/>
    <mergeCell ref="B154:D154"/>
    <mergeCell ref="A158:B158"/>
    <mergeCell ref="A159:B159"/>
    <mergeCell ref="A160:D160"/>
    <mergeCell ref="A174:C174"/>
    <mergeCell ref="A162:D162"/>
    <mergeCell ref="B163:C163"/>
    <mergeCell ref="B164:C164"/>
    <mergeCell ref="B165:C165"/>
    <mergeCell ref="B166:C166"/>
    <mergeCell ref="B167:C167"/>
    <mergeCell ref="A168:C168"/>
    <mergeCell ref="B169:C169"/>
    <mergeCell ref="A170:C170"/>
    <mergeCell ref="A172:C172"/>
    <mergeCell ref="A173:C17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D44D24-3C69-4BCF-B7D8-29F563FD7708}">
  <sheetPr codeName="Planilha4"/>
  <dimension ref="A1:WVO176"/>
  <sheetViews>
    <sheetView zoomScale="85" zoomScaleNormal="85" workbookViewId="0">
      <selection activeCell="A13" sqref="A13:D13"/>
    </sheetView>
  </sheetViews>
  <sheetFormatPr defaultColWidth="0" defaultRowHeight="15.75" customHeight="1" zeroHeight="1" outlineLevelRow="2" x14ac:dyDescent="0.3"/>
  <cols>
    <col min="1" max="1" width="18.7109375" style="21" customWidth="1"/>
    <col min="2" max="2" width="72" style="21" customWidth="1"/>
    <col min="3" max="3" width="22.85546875" style="21" customWidth="1"/>
    <col min="4" max="4" width="29.85546875" style="21" customWidth="1"/>
    <col min="5" max="5" width="11.85546875" style="81" customWidth="1"/>
    <col min="6" max="6" width="9.140625" style="81" customWidth="1"/>
    <col min="7" max="254" width="9.140625" style="81" hidden="1"/>
    <col min="255" max="255" width="18.7109375" style="81" hidden="1"/>
    <col min="256" max="256" width="72" style="81" hidden="1"/>
    <col min="257" max="257" width="22.85546875" style="81" hidden="1"/>
    <col min="258" max="258" width="29.85546875" style="81" hidden="1"/>
    <col min="259" max="260" width="9.140625" style="81" hidden="1"/>
    <col min="261" max="261" width="15.42578125" style="81" hidden="1"/>
    <col min="262" max="510" width="9.140625" style="81" hidden="1"/>
    <col min="511" max="511" width="18.7109375" style="81" hidden="1"/>
    <col min="512" max="512" width="72" style="81" hidden="1"/>
    <col min="513" max="513" width="22.85546875" style="81" hidden="1"/>
    <col min="514" max="514" width="29.85546875" style="81" hidden="1"/>
    <col min="515" max="516" width="9.140625" style="81" hidden="1"/>
    <col min="517" max="517" width="15.42578125" style="81" hidden="1"/>
    <col min="518" max="766" width="9.140625" style="81" hidden="1"/>
    <col min="767" max="767" width="18.7109375" style="81" hidden="1"/>
    <col min="768" max="768" width="72" style="81" hidden="1"/>
    <col min="769" max="769" width="22.85546875" style="81" hidden="1"/>
    <col min="770" max="770" width="29.85546875" style="81" hidden="1"/>
    <col min="771" max="772" width="9.140625" style="81" hidden="1"/>
    <col min="773" max="773" width="15.42578125" style="81" hidden="1"/>
    <col min="774" max="1022" width="9.140625" style="81" hidden="1"/>
    <col min="1023" max="1023" width="18.7109375" style="81" hidden="1"/>
    <col min="1024" max="1024" width="72" style="81" hidden="1"/>
    <col min="1025" max="1025" width="22.85546875" style="81" hidden="1"/>
    <col min="1026" max="1026" width="29.85546875" style="81" hidden="1"/>
    <col min="1027" max="1028" width="9.140625" style="81" hidden="1"/>
    <col min="1029" max="1029" width="15.42578125" style="81" hidden="1"/>
    <col min="1030" max="1278" width="9.140625" style="81" hidden="1"/>
    <col min="1279" max="1279" width="18.7109375" style="81" hidden="1"/>
    <col min="1280" max="1280" width="72" style="81" hidden="1"/>
    <col min="1281" max="1281" width="22.85546875" style="81" hidden="1"/>
    <col min="1282" max="1282" width="29.85546875" style="81" hidden="1"/>
    <col min="1283" max="1284" width="9.140625" style="81" hidden="1"/>
    <col min="1285" max="1285" width="15.42578125" style="81" hidden="1"/>
    <col min="1286" max="1534" width="9.140625" style="81" hidden="1"/>
    <col min="1535" max="1535" width="18.7109375" style="81" hidden="1"/>
    <col min="1536" max="1536" width="72" style="81" hidden="1"/>
    <col min="1537" max="1537" width="22.85546875" style="81" hidden="1"/>
    <col min="1538" max="1538" width="29.85546875" style="81" hidden="1"/>
    <col min="1539" max="1540" width="9.140625" style="81" hidden="1"/>
    <col min="1541" max="1541" width="15.42578125" style="81" hidden="1"/>
    <col min="1542" max="1790" width="9.140625" style="81" hidden="1"/>
    <col min="1791" max="1791" width="18.7109375" style="81" hidden="1"/>
    <col min="1792" max="1792" width="72" style="81" hidden="1"/>
    <col min="1793" max="1793" width="22.85546875" style="81" hidden="1"/>
    <col min="1794" max="1794" width="29.85546875" style="81" hidden="1"/>
    <col min="1795" max="1796" width="9.140625" style="81" hidden="1"/>
    <col min="1797" max="1797" width="15.42578125" style="81" hidden="1"/>
    <col min="1798" max="2046" width="9.140625" style="81" hidden="1"/>
    <col min="2047" max="2047" width="18.7109375" style="81" hidden="1"/>
    <col min="2048" max="2048" width="72" style="81" hidden="1"/>
    <col min="2049" max="2049" width="22.85546875" style="81" hidden="1"/>
    <col min="2050" max="2050" width="29.85546875" style="81" hidden="1"/>
    <col min="2051" max="2052" width="9.140625" style="81" hidden="1"/>
    <col min="2053" max="2053" width="15.42578125" style="81" hidden="1"/>
    <col min="2054" max="2302" width="9.140625" style="81" hidden="1"/>
    <col min="2303" max="2303" width="18.7109375" style="81" hidden="1"/>
    <col min="2304" max="2304" width="72" style="81" hidden="1"/>
    <col min="2305" max="2305" width="22.85546875" style="81" hidden="1"/>
    <col min="2306" max="2306" width="29.85546875" style="81" hidden="1"/>
    <col min="2307" max="2308" width="9.140625" style="81" hidden="1"/>
    <col min="2309" max="2309" width="15.42578125" style="81" hidden="1"/>
    <col min="2310" max="2558" width="9.140625" style="81" hidden="1"/>
    <col min="2559" max="2559" width="18.7109375" style="81" hidden="1"/>
    <col min="2560" max="2560" width="72" style="81" hidden="1"/>
    <col min="2561" max="2561" width="22.85546875" style="81" hidden="1"/>
    <col min="2562" max="2562" width="29.85546875" style="81" hidden="1"/>
    <col min="2563" max="2564" width="9.140625" style="81" hidden="1"/>
    <col min="2565" max="2565" width="15.42578125" style="81" hidden="1"/>
    <col min="2566" max="2814" width="9.140625" style="81" hidden="1"/>
    <col min="2815" max="2815" width="18.7109375" style="81" hidden="1"/>
    <col min="2816" max="2816" width="72" style="81" hidden="1"/>
    <col min="2817" max="2817" width="22.85546875" style="81" hidden="1"/>
    <col min="2818" max="2818" width="29.85546875" style="81" hidden="1"/>
    <col min="2819" max="2820" width="9.140625" style="81" hidden="1"/>
    <col min="2821" max="2821" width="15.42578125" style="81" hidden="1"/>
    <col min="2822" max="3070" width="9.140625" style="81" hidden="1"/>
    <col min="3071" max="3071" width="18.7109375" style="81" hidden="1"/>
    <col min="3072" max="3072" width="72" style="81" hidden="1"/>
    <col min="3073" max="3073" width="22.85546875" style="81" hidden="1"/>
    <col min="3074" max="3074" width="29.85546875" style="81" hidden="1"/>
    <col min="3075" max="3076" width="9.140625" style="81" hidden="1"/>
    <col min="3077" max="3077" width="15.42578125" style="81" hidden="1"/>
    <col min="3078" max="3326" width="9.140625" style="81" hidden="1"/>
    <col min="3327" max="3327" width="18.7109375" style="81" hidden="1"/>
    <col min="3328" max="3328" width="72" style="81" hidden="1"/>
    <col min="3329" max="3329" width="22.85546875" style="81" hidden="1"/>
    <col min="3330" max="3330" width="29.85546875" style="81" hidden="1"/>
    <col min="3331" max="3332" width="9.140625" style="81" hidden="1"/>
    <col min="3333" max="3333" width="15.42578125" style="81" hidden="1"/>
    <col min="3334" max="3582" width="9.140625" style="81" hidden="1"/>
    <col min="3583" max="3583" width="18.7109375" style="81" hidden="1"/>
    <col min="3584" max="3584" width="72" style="81" hidden="1"/>
    <col min="3585" max="3585" width="22.85546875" style="81" hidden="1"/>
    <col min="3586" max="3586" width="29.85546875" style="81" hidden="1"/>
    <col min="3587" max="3588" width="9.140625" style="81" hidden="1"/>
    <col min="3589" max="3589" width="15.42578125" style="81" hidden="1"/>
    <col min="3590" max="3838" width="9.140625" style="81" hidden="1"/>
    <col min="3839" max="3839" width="18.7109375" style="81" hidden="1"/>
    <col min="3840" max="3840" width="72" style="81" hidden="1"/>
    <col min="3841" max="3841" width="22.85546875" style="81" hidden="1"/>
    <col min="3842" max="3842" width="29.85546875" style="81" hidden="1"/>
    <col min="3843" max="3844" width="9.140625" style="81" hidden="1"/>
    <col min="3845" max="3845" width="15.42578125" style="81" hidden="1"/>
    <col min="3846" max="4094" width="9.140625" style="81" hidden="1"/>
    <col min="4095" max="4095" width="18.7109375" style="81" hidden="1"/>
    <col min="4096" max="4096" width="72" style="81" hidden="1"/>
    <col min="4097" max="4097" width="22.85546875" style="81" hidden="1"/>
    <col min="4098" max="4098" width="29.85546875" style="81" hidden="1"/>
    <col min="4099" max="4100" width="9.140625" style="81" hidden="1"/>
    <col min="4101" max="4101" width="15.42578125" style="81" hidden="1"/>
    <col min="4102" max="4350" width="9.140625" style="81" hidden="1"/>
    <col min="4351" max="4351" width="18.7109375" style="81" hidden="1"/>
    <col min="4352" max="4352" width="72" style="81" hidden="1"/>
    <col min="4353" max="4353" width="22.85546875" style="81" hidden="1"/>
    <col min="4354" max="4354" width="29.85546875" style="81" hidden="1"/>
    <col min="4355" max="4356" width="9.140625" style="81" hidden="1"/>
    <col min="4357" max="4357" width="15.42578125" style="81" hidden="1"/>
    <col min="4358" max="4606" width="9.140625" style="81" hidden="1"/>
    <col min="4607" max="4607" width="18.7109375" style="81" hidden="1"/>
    <col min="4608" max="4608" width="72" style="81" hidden="1"/>
    <col min="4609" max="4609" width="22.85546875" style="81" hidden="1"/>
    <col min="4610" max="4610" width="29.85546875" style="81" hidden="1"/>
    <col min="4611" max="4612" width="9.140625" style="81" hidden="1"/>
    <col min="4613" max="4613" width="15.42578125" style="81" hidden="1"/>
    <col min="4614" max="4862" width="9.140625" style="81" hidden="1"/>
    <col min="4863" max="4863" width="18.7109375" style="81" hidden="1"/>
    <col min="4864" max="4864" width="72" style="81" hidden="1"/>
    <col min="4865" max="4865" width="22.85546875" style="81" hidden="1"/>
    <col min="4866" max="4866" width="29.85546875" style="81" hidden="1"/>
    <col min="4867" max="4868" width="9.140625" style="81" hidden="1"/>
    <col min="4869" max="4869" width="15.42578125" style="81" hidden="1"/>
    <col min="4870" max="5118" width="9.140625" style="81" hidden="1"/>
    <col min="5119" max="5119" width="18.7109375" style="81" hidden="1"/>
    <col min="5120" max="5120" width="72" style="81" hidden="1"/>
    <col min="5121" max="5121" width="22.85546875" style="81" hidden="1"/>
    <col min="5122" max="5122" width="29.85546875" style="81" hidden="1"/>
    <col min="5123" max="5124" width="9.140625" style="81" hidden="1"/>
    <col min="5125" max="5125" width="15.42578125" style="81" hidden="1"/>
    <col min="5126" max="5374" width="9.140625" style="81" hidden="1"/>
    <col min="5375" max="5375" width="18.7109375" style="81" hidden="1"/>
    <col min="5376" max="5376" width="72" style="81" hidden="1"/>
    <col min="5377" max="5377" width="22.85546875" style="81" hidden="1"/>
    <col min="5378" max="5378" width="29.85546875" style="81" hidden="1"/>
    <col min="5379" max="5380" width="9.140625" style="81" hidden="1"/>
    <col min="5381" max="5381" width="15.42578125" style="81" hidden="1"/>
    <col min="5382" max="5630" width="9.140625" style="81" hidden="1"/>
    <col min="5631" max="5631" width="18.7109375" style="81" hidden="1"/>
    <col min="5632" max="5632" width="72" style="81" hidden="1"/>
    <col min="5633" max="5633" width="22.85546875" style="81" hidden="1"/>
    <col min="5634" max="5634" width="29.85546875" style="81" hidden="1"/>
    <col min="5635" max="5636" width="9.140625" style="81" hidden="1"/>
    <col min="5637" max="5637" width="15.42578125" style="81" hidden="1"/>
    <col min="5638" max="5886" width="9.140625" style="81" hidden="1"/>
    <col min="5887" max="5887" width="18.7109375" style="81" hidden="1"/>
    <col min="5888" max="5888" width="72" style="81" hidden="1"/>
    <col min="5889" max="5889" width="22.85546875" style="81" hidden="1"/>
    <col min="5890" max="5890" width="29.85546875" style="81" hidden="1"/>
    <col min="5891" max="5892" width="9.140625" style="81" hidden="1"/>
    <col min="5893" max="5893" width="15.42578125" style="81" hidden="1"/>
    <col min="5894" max="6142" width="9.140625" style="81" hidden="1"/>
    <col min="6143" max="6143" width="18.7109375" style="81" hidden="1"/>
    <col min="6144" max="6144" width="72" style="81" hidden="1"/>
    <col min="6145" max="6145" width="22.85546875" style="81" hidden="1"/>
    <col min="6146" max="6146" width="29.85546875" style="81" hidden="1"/>
    <col min="6147" max="6148" width="9.140625" style="81" hidden="1"/>
    <col min="6149" max="6149" width="15.42578125" style="81" hidden="1"/>
    <col min="6150" max="6398" width="9.140625" style="81" hidden="1"/>
    <col min="6399" max="6399" width="18.7109375" style="81" hidden="1"/>
    <col min="6400" max="6400" width="72" style="81" hidden="1"/>
    <col min="6401" max="6401" width="22.85546875" style="81" hidden="1"/>
    <col min="6402" max="6402" width="29.85546875" style="81" hidden="1"/>
    <col min="6403" max="6404" width="9.140625" style="81" hidden="1"/>
    <col min="6405" max="6405" width="15.42578125" style="81" hidden="1"/>
    <col min="6406" max="6654" width="9.140625" style="81" hidden="1"/>
    <col min="6655" max="6655" width="18.7109375" style="81" hidden="1"/>
    <col min="6656" max="6656" width="72" style="81" hidden="1"/>
    <col min="6657" max="6657" width="22.85546875" style="81" hidden="1"/>
    <col min="6658" max="6658" width="29.85546875" style="81" hidden="1"/>
    <col min="6659" max="6660" width="9.140625" style="81" hidden="1"/>
    <col min="6661" max="6661" width="15.42578125" style="81" hidden="1"/>
    <col min="6662" max="6910" width="9.140625" style="81" hidden="1"/>
    <col min="6911" max="6911" width="18.7109375" style="81" hidden="1"/>
    <col min="6912" max="6912" width="72" style="81" hidden="1"/>
    <col min="6913" max="6913" width="22.85546875" style="81" hidden="1"/>
    <col min="6914" max="6914" width="29.85546875" style="81" hidden="1"/>
    <col min="6915" max="6916" width="9.140625" style="81" hidden="1"/>
    <col min="6917" max="6917" width="15.42578125" style="81" hidden="1"/>
    <col min="6918" max="7166" width="9.140625" style="81" hidden="1"/>
    <col min="7167" max="7167" width="18.7109375" style="81" hidden="1"/>
    <col min="7168" max="7168" width="72" style="81" hidden="1"/>
    <col min="7169" max="7169" width="22.85546875" style="81" hidden="1"/>
    <col min="7170" max="7170" width="29.85546875" style="81" hidden="1"/>
    <col min="7171" max="7172" width="9.140625" style="81" hidden="1"/>
    <col min="7173" max="7173" width="15.42578125" style="81" hidden="1"/>
    <col min="7174" max="7422" width="9.140625" style="81" hidden="1"/>
    <col min="7423" max="7423" width="18.7109375" style="81" hidden="1"/>
    <col min="7424" max="7424" width="72" style="81" hidden="1"/>
    <col min="7425" max="7425" width="22.85546875" style="81" hidden="1"/>
    <col min="7426" max="7426" width="29.85546875" style="81" hidden="1"/>
    <col min="7427" max="7428" width="9.140625" style="81" hidden="1"/>
    <col min="7429" max="7429" width="15.42578125" style="81" hidden="1"/>
    <col min="7430" max="7678" width="9.140625" style="81" hidden="1"/>
    <col min="7679" max="7679" width="18.7109375" style="81" hidden="1"/>
    <col min="7680" max="7680" width="72" style="81" hidden="1"/>
    <col min="7681" max="7681" width="22.85546875" style="81" hidden="1"/>
    <col min="7682" max="7682" width="29.85546875" style="81" hidden="1"/>
    <col min="7683" max="7684" width="9.140625" style="81" hidden="1"/>
    <col min="7685" max="7685" width="15.42578125" style="81" hidden="1"/>
    <col min="7686" max="7934" width="9.140625" style="81" hidden="1"/>
    <col min="7935" max="7935" width="18.7109375" style="81" hidden="1"/>
    <col min="7936" max="7936" width="72" style="81" hidden="1"/>
    <col min="7937" max="7937" width="22.85546875" style="81" hidden="1"/>
    <col min="7938" max="7938" width="29.85546875" style="81" hidden="1"/>
    <col min="7939" max="7940" width="9.140625" style="81" hidden="1"/>
    <col min="7941" max="7941" width="15.42578125" style="81" hidden="1"/>
    <col min="7942" max="8190" width="9.140625" style="81" hidden="1"/>
    <col min="8191" max="8191" width="18.7109375" style="81" hidden="1"/>
    <col min="8192" max="8192" width="72" style="81" hidden="1"/>
    <col min="8193" max="8193" width="22.85546875" style="81" hidden="1"/>
    <col min="8194" max="8194" width="29.85546875" style="81" hidden="1"/>
    <col min="8195" max="8196" width="9.140625" style="81" hidden="1"/>
    <col min="8197" max="8197" width="15.42578125" style="81" hidden="1"/>
    <col min="8198" max="8446" width="9.140625" style="81" hidden="1"/>
    <col min="8447" max="8447" width="18.7109375" style="81" hidden="1"/>
    <col min="8448" max="8448" width="72" style="81" hidden="1"/>
    <col min="8449" max="8449" width="22.85546875" style="81" hidden="1"/>
    <col min="8450" max="8450" width="29.85546875" style="81" hidden="1"/>
    <col min="8451" max="8452" width="9.140625" style="81" hidden="1"/>
    <col min="8453" max="8453" width="15.42578125" style="81" hidden="1"/>
    <col min="8454" max="8702" width="9.140625" style="81" hidden="1"/>
    <col min="8703" max="8703" width="18.7109375" style="81" hidden="1"/>
    <col min="8704" max="8704" width="72" style="81" hidden="1"/>
    <col min="8705" max="8705" width="22.85546875" style="81" hidden="1"/>
    <col min="8706" max="8706" width="29.85546875" style="81" hidden="1"/>
    <col min="8707" max="8708" width="9.140625" style="81" hidden="1"/>
    <col min="8709" max="8709" width="15.42578125" style="81" hidden="1"/>
    <col min="8710" max="8958" width="9.140625" style="81" hidden="1"/>
    <col min="8959" max="8959" width="18.7109375" style="81" hidden="1"/>
    <col min="8960" max="8960" width="72" style="81" hidden="1"/>
    <col min="8961" max="8961" width="22.85546875" style="81" hidden="1"/>
    <col min="8962" max="8962" width="29.85546875" style="81" hidden="1"/>
    <col min="8963" max="8964" width="9.140625" style="81" hidden="1"/>
    <col min="8965" max="8965" width="15.42578125" style="81" hidden="1"/>
    <col min="8966" max="9214" width="9.140625" style="81" hidden="1"/>
    <col min="9215" max="9215" width="18.7109375" style="81" hidden="1"/>
    <col min="9216" max="9216" width="72" style="81" hidden="1"/>
    <col min="9217" max="9217" width="22.85546875" style="81" hidden="1"/>
    <col min="9218" max="9218" width="29.85546875" style="81" hidden="1"/>
    <col min="9219" max="9220" width="9.140625" style="81" hidden="1"/>
    <col min="9221" max="9221" width="15.42578125" style="81" hidden="1"/>
    <col min="9222" max="9470" width="9.140625" style="81" hidden="1"/>
    <col min="9471" max="9471" width="18.7109375" style="81" hidden="1"/>
    <col min="9472" max="9472" width="72" style="81" hidden="1"/>
    <col min="9473" max="9473" width="22.85546875" style="81" hidden="1"/>
    <col min="9474" max="9474" width="29.85546875" style="81" hidden="1"/>
    <col min="9475" max="9476" width="9.140625" style="81" hidden="1"/>
    <col min="9477" max="9477" width="15.42578125" style="81" hidden="1"/>
    <col min="9478" max="9726" width="9.140625" style="81" hidden="1"/>
    <col min="9727" max="9727" width="18.7109375" style="81" hidden="1"/>
    <col min="9728" max="9728" width="72" style="81" hidden="1"/>
    <col min="9729" max="9729" width="22.85546875" style="81" hidden="1"/>
    <col min="9730" max="9730" width="29.85546875" style="81" hidden="1"/>
    <col min="9731" max="9732" width="9.140625" style="81" hidden="1"/>
    <col min="9733" max="9733" width="15.42578125" style="81" hidden="1"/>
    <col min="9734" max="9982" width="9.140625" style="81" hidden="1"/>
    <col min="9983" max="9983" width="18.7109375" style="81" hidden="1"/>
    <col min="9984" max="9984" width="72" style="81" hidden="1"/>
    <col min="9985" max="9985" width="22.85546875" style="81" hidden="1"/>
    <col min="9986" max="9986" width="29.85546875" style="81" hidden="1"/>
    <col min="9987" max="9988" width="9.140625" style="81" hidden="1"/>
    <col min="9989" max="9989" width="15.42578125" style="81" hidden="1"/>
    <col min="9990" max="10238" width="9.140625" style="81" hidden="1"/>
    <col min="10239" max="10239" width="18.7109375" style="81" hidden="1"/>
    <col min="10240" max="10240" width="72" style="81" hidden="1"/>
    <col min="10241" max="10241" width="22.85546875" style="81" hidden="1"/>
    <col min="10242" max="10242" width="29.85546875" style="81" hidden="1"/>
    <col min="10243" max="10244" width="9.140625" style="81" hidden="1"/>
    <col min="10245" max="10245" width="15.42578125" style="81" hidden="1"/>
    <col min="10246" max="10494" width="9.140625" style="81" hidden="1"/>
    <col min="10495" max="10495" width="18.7109375" style="81" hidden="1"/>
    <col min="10496" max="10496" width="72" style="81" hidden="1"/>
    <col min="10497" max="10497" width="22.85546875" style="81" hidden="1"/>
    <col min="10498" max="10498" width="29.85546875" style="81" hidden="1"/>
    <col min="10499" max="10500" width="9.140625" style="81" hidden="1"/>
    <col min="10501" max="10501" width="15.42578125" style="81" hidden="1"/>
    <col min="10502" max="10750" width="9.140625" style="81" hidden="1"/>
    <col min="10751" max="10751" width="18.7109375" style="81" hidden="1"/>
    <col min="10752" max="10752" width="72" style="81" hidden="1"/>
    <col min="10753" max="10753" width="22.85546875" style="81" hidden="1"/>
    <col min="10754" max="10754" width="29.85546875" style="81" hidden="1"/>
    <col min="10755" max="10756" width="9.140625" style="81" hidden="1"/>
    <col min="10757" max="10757" width="15.42578125" style="81" hidden="1"/>
    <col min="10758" max="11006" width="9.140625" style="81" hidden="1"/>
    <col min="11007" max="11007" width="18.7109375" style="81" hidden="1"/>
    <col min="11008" max="11008" width="72" style="81" hidden="1"/>
    <col min="11009" max="11009" width="22.85546875" style="81" hidden="1"/>
    <col min="11010" max="11010" width="29.85546875" style="81" hidden="1"/>
    <col min="11011" max="11012" width="9.140625" style="81" hidden="1"/>
    <col min="11013" max="11013" width="15.42578125" style="81" hidden="1"/>
    <col min="11014" max="11262" width="9.140625" style="81" hidden="1"/>
    <col min="11263" max="11263" width="18.7109375" style="81" hidden="1"/>
    <col min="11264" max="11264" width="72" style="81" hidden="1"/>
    <col min="11265" max="11265" width="22.85546875" style="81" hidden="1"/>
    <col min="11266" max="11266" width="29.85546875" style="81" hidden="1"/>
    <col min="11267" max="11268" width="9.140625" style="81" hidden="1"/>
    <col min="11269" max="11269" width="15.42578125" style="81" hidden="1"/>
    <col min="11270" max="11518" width="9.140625" style="81" hidden="1"/>
    <col min="11519" max="11519" width="18.7109375" style="81" hidden="1"/>
    <col min="11520" max="11520" width="72" style="81" hidden="1"/>
    <col min="11521" max="11521" width="22.85546875" style="81" hidden="1"/>
    <col min="11522" max="11522" width="29.85546875" style="81" hidden="1"/>
    <col min="11523" max="11524" width="9.140625" style="81" hidden="1"/>
    <col min="11525" max="11525" width="15.42578125" style="81" hidden="1"/>
    <col min="11526" max="11774" width="9.140625" style="81" hidden="1"/>
    <col min="11775" max="11775" width="18.7109375" style="81" hidden="1"/>
    <col min="11776" max="11776" width="72" style="81" hidden="1"/>
    <col min="11777" max="11777" width="22.85546875" style="81" hidden="1"/>
    <col min="11778" max="11778" width="29.85546875" style="81" hidden="1"/>
    <col min="11779" max="11780" width="9.140625" style="81" hidden="1"/>
    <col min="11781" max="11781" width="15.42578125" style="81" hidden="1"/>
    <col min="11782" max="12030" width="9.140625" style="81" hidden="1"/>
    <col min="12031" max="12031" width="18.7109375" style="81" hidden="1"/>
    <col min="12032" max="12032" width="72" style="81" hidden="1"/>
    <col min="12033" max="12033" width="22.85546875" style="81" hidden="1"/>
    <col min="12034" max="12034" width="29.85546875" style="81" hidden="1"/>
    <col min="12035" max="12036" width="9.140625" style="81" hidden="1"/>
    <col min="12037" max="12037" width="15.42578125" style="81" hidden="1"/>
    <col min="12038" max="12286" width="9.140625" style="81" hidden="1"/>
    <col min="12287" max="12287" width="18.7109375" style="81" hidden="1"/>
    <col min="12288" max="12288" width="72" style="81" hidden="1"/>
    <col min="12289" max="12289" width="22.85546875" style="81" hidden="1"/>
    <col min="12290" max="12290" width="29.85546875" style="81" hidden="1"/>
    <col min="12291" max="12292" width="9.140625" style="81" hidden="1"/>
    <col min="12293" max="12293" width="15.42578125" style="81" hidden="1"/>
    <col min="12294" max="12542" width="9.140625" style="81" hidden="1"/>
    <col min="12543" max="12543" width="18.7109375" style="81" hidden="1"/>
    <col min="12544" max="12544" width="72" style="81" hidden="1"/>
    <col min="12545" max="12545" width="22.85546875" style="81" hidden="1"/>
    <col min="12546" max="12546" width="29.85546875" style="81" hidden="1"/>
    <col min="12547" max="12548" width="9.140625" style="81" hidden="1"/>
    <col min="12549" max="12549" width="15.42578125" style="81" hidden="1"/>
    <col min="12550" max="12798" width="9.140625" style="81" hidden="1"/>
    <col min="12799" max="12799" width="18.7109375" style="81" hidden="1"/>
    <col min="12800" max="12800" width="72" style="81" hidden="1"/>
    <col min="12801" max="12801" width="22.85546875" style="81" hidden="1"/>
    <col min="12802" max="12802" width="29.85546875" style="81" hidden="1"/>
    <col min="12803" max="12804" width="9.140625" style="81" hidden="1"/>
    <col min="12805" max="12805" width="15.42578125" style="81" hidden="1"/>
    <col min="12806" max="13054" width="9.140625" style="81" hidden="1"/>
    <col min="13055" max="13055" width="18.7109375" style="81" hidden="1"/>
    <col min="13056" max="13056" width="72" style="81" hidden="1"/>
    <col min="13057" max="13057" width="22.85546875" style="81" hidden="1"/>
    <col min="13058" max="13058" width="29.85546875" style="81" hidden="1"/>
    <col min="13059" max="13060" width="9.140625" style="81" hidden="1"/>
    <col min="13061" max="13061" width="15.42578125" style="81" hidden="1"/>
    <col min="13062" max="13310" width="9.140625" style="81" hidden="1"/>
    <col min="13311" max="13311" width="18.7109375" style="81" hidden="1"/>
    <col min="13312" max="13312" width="72" style="81" hidden="1"/>
    <col min="13313" max="13313" width="22.85546875" style="81" hidden="1"/>
    <col min="13314" max="13314" width="29.85546875" style="81" hidden="1"/>
    <col min="13315" max="13316" width="9.140625" style="81" hidden="1"/>
    <col min="13317" max="13317" width="15.42578125" style="81" hidden="1"/>
    <col min="13318" max="13566" width="9.140625" style="81" hidden="1"/>
    <col min="13567" max="13567" width="18.7109375" style="81" hidden="1"/>
    <col min="13568" max="13568" width="72" style="81" hidden="1"/>
    <col min="13569" max="13569" width="22.85546875" style="81" hidden="1"/>
    <col min="13570" max="13570" width="29.85546875" style="81" hidden="1"/>
    <col min="13571" max="13572" width="9.140625" style="81" hidden="1"/>
    <col min="13573" max="13573" width="15.42578125" style="81" hidden="1"/>
    <col min="13574" max="13822" width="9.140625" style="81" hidden="1"/>
    <col min="13823" max="13823" width="18.7109375" style="81" hidden="1"/>
    <col min="13824" max="13824" width="72" style="81" hidden="1"/>
    <col min="13825" max="13825" width="22.85546875" style="81" hidden="1"/>
    <col min="13826" max="13826" width="29.85546875" style="81" hidden="1"/>
    <col min="13827" max="13828" width="9.140625" style="81" hidden="1"/>
    <col min="13829" max="13829" width="15.42578125" style="81" hidden="1"/>
    <col min="13830" max="14078" width="9.140625" style="81" hidden="1"/>
    <col min="14079" max="14079" width="18.7109375" style="81" hidden="1"/>
    <col min="14080" max="14080" width="72" style="81" hidden="1"/>
    <col min="14081" max="14081" width="22.85546875" style="81" hidden="1"/>
    <col min="14082" max="14082" width="29.85546875" style="81" hidden="1"/>
    <col min="14083" max="14084" width="9.140625" style="81" hidden="1"/>
    <col min="14085" max="14085" width="15.42578125" style="81" hidden="1"/>
    <col min="14086" max="14334" width="9.140625" style="81" hidden="1"/>
    <col min="14335" max="14335" width="18.7109375" style="81" hidden="1"/>
    <col min="14336" max="14336" width="72" style="81" hidden="1"/>
    <col min="14337" max="14337" width="22.85546875" style="81" hidden="1"/>
    <col min="14338" max="14338" width="29.85546875" style="81" hidden="1"/>
    <col min="14339" max="14340" width="9.140625" style="81" hidden="1"/>
    <col min="14341" max="14341" width="15.42578125" style="81" hidden="1"/>
    <col min="14342" max="14590" width="9.140625" style="81" hidden="1"/>
    <col min="14591" max="14591" width="18.7109375" style="81" hidden="1"/>
    <col min="14592" max="14592" width="72" style="81" hidden="1"/>
    <col min="14593" max="14593" width="22.85546875" style="81" hidden="1"/>
    <col min="14594" max="14594" width="29.85546875" style="81" hidden="1"/>
    <col min="14595" max="14596" width="9.140625" style="81" hidden="1"/>
    <col min="14597" max="14597" width="15.42578125" style="81" hidden="1"/>
    <col min="14598" max="14846" width="9.140625" style="81" hidden="1"/>
    <col min="14847" max="14847" width="18.7109375" style="81" hidden="1"/>
    <col min="14848" max="14848" width="72" style="81" hidden="1"/>
    <col min="14849" max="14849" width="22.85546875" style="81" hidden="1"/>
    <col min="14850" max="14850" width="29.85546875" style="81" hidden="1"/>
    <col min="14851" max="14852" width="9.140625" style="81" hidden="1"/>
    <col min="14853" max="14853" width="15.42578125" style="81" hidden="1"/>
    <col min="14854" max="15102" width="9.140625" style="81" hidden="1"/>
    <col min="15103" max="15103" width="18.7109375" style="81" hidden="1"/>
    <col min="15104" max="15104" width="72" style="81" hidden="1"/>
    <col min="15105" max="15105" width="22.85546875" style="81" hidden="1"/>
    <col min="15106" max="15106" width="29.85546875" style="81" hidden="1"/>
    <col min="15107" max="15108" width="9.140625" style="81" hidden="1"/>
    <col min="15109" max="15109" width="15.42578125" style="81" hidden="1"/>
    <col min="15110" max="15358" width="9.140625" style="81" hidden="1"/>
    <col min="15359" max="15359" width="18.7109375" style="81" hidden="1"/>
    <col min="15360" max="15360" width="72" style="81" hidden="1"/>
    <col min="15361" max="15361" width="22.85546875" style="81" hidden="1"/>
    <col min="15362" max="15362" width="29.85546875" style="81" hidden="1"/>
    <col min="15363" max="15364" width="9.140625" style="81" hidden="1"/>
    <col min="15365" max="15365" width="15.42578125" style="81" hidden="1"/>
    <col min="15366" max="15614" width="9.140625" style="81" hidden="1"/>
    <col min="15615" max="15615" width="18.7109375" style="81" hidden="1"/>
    <col min="15616" max="15616" width="72" style="81" hidden="1"/>
    <col min="15617" max="15617" width="22.85546875" style="81" hidden="1"/>
    <col min="15618" max="15618" width="29.85546875" style="81" hidden="1"/>
    <col min="15619" max="15620" width="9.140625" style="81" hidden="1"/>
    <col min="15621" max="15621" width="15.42578125" style="81" hidden="1"/>
    <col min="15622" max="15870" width="9.140625" style="81" hidden="1"/>
    <col min="15871" max="15871" width="18.7109375" style="81" hidden="1"/>
    <col min="15872" max="15872" width="72" style="81" hidden="1"/>
    <col min="15873" max="15873" width="22.85546875" style="81" hidden="1"/>
    <col min="15874" max="15874" width="29.85546875" style="81" hidden="1"/>
    <col min="15875" max="15876" width="9.140625" style="81" hidden="1"/>
    <col min="15877" max="15877" width="15.42578125" style="81" hidden="1"/>
    <col min="15878" max="16126" width="9.140625" style="81" hidden="1"/>
    <col min="16127" max="16127" width="18.7109375" style="81" hidden="1"/>
    <col min="16128" max="16128" width="72" style="81" hidden="1"/>
    <col min="16129" max="16129" width="22.85546875" style="81" hidden="1"/>
    <col min="16130" max="16130" width="29.85546875" style="81" hidden="1"/>
    <col min="16131" max="16132" width="9.140625" style="81" hidden="1"/>
    <col min="16133" max="16135" width="15.42578125" style="81" hidden="1"/>
    <col min="16136" max="16384" width="9.140625" style="81" hidden="1"/>
  </cols>
  <sheetData>
    <row r="1" spans="1:7" x14ac:dyDescent="0.3">
      <c r="A1" s="251" t="s">
        <v>9</v>
      </c>
      <c r="B1" s="251"/>
      <c r="C1" s="251"/>
      <c r="D1" s="251"/>
      <c r="E1" s="20"/>
      <c r="F1" s="20"/>
      <c r="G1" s="20"/>
    </row>
    <row r="2" spans="1:7" x14ac:dyDescent="0.3">
      <c r="A2" s="252" t="s">
        <v>15</v>
      </c>
      <c r="B2" s="252"/>
      <c r="C2" s="253" t="s">
        <v>221</v>
      </c>
      <c r="D2" s="254"/>
      <c r="E2" s="20"/>
      <c r="F2" s="20"/>
      <c r="G2" s="20"/>
    </row>
    <row r="3" spans="1:7" x14ac:dyDescent="0.3">
      <c r="A3" s="252" t="s">
        <v>16</v>
      </c>
      <c r="B3" s="252"/>
      <c r="C3" s="253" t="s">
        <v>198</v>
      </c>
      <c r="D3" s="254"/>
      <c r="E3" s="20"/>
      <c r="F3" s="20"/>
      <c r="G3" s="20"/>
    </row>
    <row r="4" spans="1:7" x14ac:dyDescent="0.3">
      <c r="A4" s="250"/>
      <c r="B4" s="250"/>
      <c r="C4" s="250"/>
      <c r="D4" s="250"/>
      <c r="E4" s="20"/>
      <c r="F4" s="20"/>
      <c r="G4" s="20"/>
    </row>
    <row r="5" spans="1:7" x14ac:dyDescent="0.3">
      <c r="A5" s="250" t="s">
        <v>17</v>
      </c>
      <c r="B5" s="250"/>
      <c r="C5" s="250"/>
      <c r="D5" s="250"/>
      <c r="E5" s="20"/>
      <c r="F5" s="20"/>
      <c r="G5" s="20"/>
    </row>
    <row r="6" spans="1:7" x14ac:dyDescent="0.3">
      <c r="A6" s="156" t="s">
        <v>18</v>
      </c>
      <c r="B6" s="158" t="s">
        <v>8</v>
      </c>
      <c r="C6" s="257" t="s">
        <v>96</v>
      </c>
      <c r="D6" s="258"/>
      <c r="E6" s="20"/>
      <c r="F6" s="20"/>
      <c r="G6" s="20"/>
    </row>
    <row r="7" spans="1:7" x14ac:dyDescent="0.3">
      <c r="A7" s="156" t="s">
        <v>19</v>
      </c>
      <c r="B7" s="158" t="s">
        <v>7</v>
      </c>
      <c r="C7" s="259" t="s">
        <v>264</v>
      </c>
      <c r="D7" s="259"/>
      <c r="E7" s="20"/>
      <c r="F7" s="20"/>
      <c r="G7" s="20"/>
    </row>
    <row r="8" spans="1:7" x14ac:dyDescent="0.3">
      <c r="A8" s="22" t="s">
        <v>20</v>
      </c>
      <c r="B8" s="23" t="s">
        <v>21</v>
      </c>
      <c r="C8" s="260" t="s">
        <v>222</v>
      </c>
      <c r="D8" s="261"/>
      <c r="E8" s="20"/>
      <c r="F8" s="20"/>
      <c r="G8" s="20"/>
    </row>
    <row r="9" spans="1:7" x14ac:dyDescent="0.3">
      <c r="A9" s="156" t="s">
        <v>22</v>
      </c>
      <c r="B9" s="158" t="s">
        <v>23</v>
      </c>
      <c r="C9" s="255" t="s">
        <v>24</v>
      </c>
      <c r="D9" s="256"/>
      <c r="E9" s="20"/>
      <c r="F9" s="20"/>
      <c r="G9" s="20"/>
    </row>
    <row r="10" spans="1:7" x14ac:dyDescent="0.3">
      <c r="A10" s="156" t="s">
        <v>25</v>
      </c>
      <c r="B10" s="158" t="s">
        <v>26</v>
      </c>
      <c r="C10" s="255" t="s">
        <v>199</v>
      </c>
      <c r="D10" s="256"/>
      <c r="E10" s="20"/>
      <c r="F10" s="20"/>
      <c r="G10" s="20"/>
    </row>
    <row r="11" spans="1:7" x14ac:dyDescent="0.3">
      <c r="A11" s="156" t="s">
        <v>27</v>
      </c>
      <c r="B11" s="158" t="s">
        <v>28</v>
      </c>
      <c r="C11" s="262">
        <v>1</v>
      </c>
      <c r="D11" s="263"/>
      <c r="E11" s="20"/>
      <c r="F11" s="20"/>
      <c r="G11" s="20"/>
    </row>
    <row r="12" spans="1:7" x14ac:dyDescent="0.3">
      <c r="A12" s="156" t="s">
        <v>29</v>
      </c>
      <c r="B12" s="158" t="s">
        <v>30</v>
      </c>
      <c r="C12" s="264">
        <f>Proposta!H5</f>
        <v>24</v>
      </c>
      <c r="D12" s="265"/>
      <c r="E12" s="20"/>
      <c r="F12" s="20"/>
      <c r="G12" s="20"/>
    </row>
    <row r="13" spans="1:7" x14ac:dyDescent="0.3">
      <c r="A13" s="266"/>
      <c r="B13" s="267"/>
      <c r="C13" s="267"/>
      <c r="D13" s="267"/>
      <c r="E13" s="20"/>
      <c r="F13" s="20"/>
      <c r="G13" s="20"/>
    </row>
    <row r="14" spans="1:7" x14ac:dyDescent="0.3">
      <c r="A14" s="268" t="s">
        <v>31</v>
      </c>
      <c r="B14" s="269"/>
      <c r="C14" s="269"/>
      <c r="D14" s="270"/>
      <c r="E14" s="20"/>
      <c r="F14" s="20"/>
      <c r="G14" s="20"/>
    </row>
    <row r="15" spans="1:7" x14ac:dyDescent="0.3">
      <c r="A15" s="259" t="s">
        <v>32</v>
      </c>
      <c r="B15" s="259"/>
      <c r="C15" s="259"/>
      <c r="D15" s="259"/>
      <c r="E15" s="20"/>
      <c r="F15" s="20"/>
      <c r="G15" s="20"/>
    </row>
    <row r="16" spans="1:7" x14ac:dyDescent="0.3">
      <c r="A16" s="156">
        <v>1</v>
      </c>
      <c r="B16" s="158" t="s">
        <v>33</v>
      </c>
      <c r="C16" s="255" t="s">
        <v>1</v>
      </c>
      <c r="D16" s="256" t="s">
        <v>1</v>
      </c>
      <c r="E16" s="20"/>
      <c r="F16" s="20"/>
      <c r="G16" s="20"/>
    </row>
    <row r="17" spans="1:7" x14ac:dyDescent="0.3">
      <c r="A17" s="156"/>
      <c r="B17" s="147" t="s">
        <v>202</v>
      </c>
      <c r="C17" s="272">
        <v>2</v>
      </c>
      <c r="D17" s="265">
        <v>1</v>
      </c>
      <c r="E17" s="20"/>
      <c r="F17" s="20"/>
      <c r="G17" s="20"/>
    </row>
    <row r="18" spans="1:7" x14ac:dyDescent="0.3">
      <c r="A18" s="156">
        <v>2</v>
      </c>
      <c r="B18" s="24" t="s">
        <v>34</v>
      </c>
      <c r="C18" s="273" t="s">
        <v>200</v>
      </c>
      <c r="D18" s="274"/>
      <c r="E18" s="20"/>
      <c r="F18" s="20"/>
      <c r="G18" s="20"/>
    </row>
    <row r="19" spans="1:7" x14ac:dyDescent="0.3">
      <c r="A19" s="259" t="s">
        <v>35</v>
      </c>
      <c r="B19" s="259"/>
      <c r="C19" s="259"/>
      <c r="D19" s="259"/>
      <c r="E19" s="20"/>
      <c r="F19" s="20"/>
      <c r="G19" s="20"/>
    </row>
    <row r="20" spans="1:7" x14ac:dyDescent="0.3">
      <c r="A20" s="156">
        <v>3</v>
      </c>
      <c r="B20" s="275" t="s">
        <v>6</v>
      </c>
      <c r="C20" s="276"/>
      <c r="D20" s="173">
        <v>1664.83</v>
      </c>
      <c r="E20" s="20"/>
      <c r="F20" s="20"/>
      <c r="G20" s="20"/>
    </row>
    <row r="21" spans="1:7" x14ac:dyDescent="0.3">
      <c r="A21" s="156">
        <v>4</v>
      </c>
      <c r="B21" s="275" t="s">
        <v>36</v>
      </c>
      <c r="C21" s="276"/>
      <c r="D21" s="174" t="s">
        <v>201</v>
      </c>
      <c r="E21" s="20"/>
      <c r="F21" s="20"/>
      <c r="G21" s="20"/>
    </row>
    <row r="22" spans="1:7" x14ac:dyDescent="0.3">
      <c r="A22" s="156">
        <v>5</v>
      </c>
      <c r="B22" s="275" t="s">
        <v>5</v>
      </c>
      <c r="C22" s="276"/>
      <c r="D22" s="175">
        <v>44228</v>
      </c>
      <c r="E22" s="20"/>
      <c r="F22" s="20"/>
      <c r="G22" s="20"/>
    </row>
    <row r="23" spans="1:7" x14ac:dyDescent="0.3">
      <c r="A23" s="255"/>
      <c r="B23" s="277"/>
      <c r="C23" s="277"/>
      <c r="D23" s="256"/>
      <c r="E23" s="20"/>
      <c r="F23" s="20"/>
      <c r="G23" s="20"/>
    </row>
    <row r="24" spans="1:7" x14ac:dyDescent="0.3">
      <c r="A24" s="278" t="s">
        <v>37</v>
      </c>
      <c r="B24" s="278"/>
      <c r="C24" s="278"/>
      <c r="D24" s="278"/>
      <c r="E24" s="20"/>
      <c r="F24" s="20"/>
      <c r="G24" s="20"/>
    </row>
    <row r="25" spans="1:7" hidden="1" outlineLevel="1" x14ac:dyDescent="0.3">
      <c r="A25" s="272"/>
      <c r="B25" s="279"/>
      <c r="C25" s="279"/>
      <c r="D25" s="265"/>
      <c r="E25" s="20"/>
      <c r="F25" s="20"/>
      <c r="G25" s="20"/>
    </row>
    <row r="26" spans="1:7" hidden="1" outlineLevel="1" x14ac:dyDescent="0.3">
      <c r="A26" s="157">
        <v>1</v>
      </c>
      <c r="B26" s="280" t="s">
        <v>38</v>
      </c>
      <c r="C26" s="281"/>
      <c r="D26" s="157" t="s">
        <v>39</v>
      </c>
      <c r="E26" s="20"/>
      <c r="F26" s="20"/>
      <c r="G26" s="20"/>
    </row>
    <row r="27" spans="1:7" hidden="1" outlineLevel="1" x14ac:dyDescent="0.3">
      <c r="A27" s="156" t="s">
        <v>40</v>
      </c>
      <c r="B27" s="158" t="s">
        <v>224</v>
      </c>
      <c r="C27" s="167">
        <v>220</v>
      </c>
      <c r="D27" s="25">
        <f>D20/C27*C27</f>
        <v>1664.83</v>
      </c>
      <c r="E27" s="20"/>
      <c r="F27" s="20"/>
      <c r="G27" s="20"/>
    </row>
    <row r="28" spans="1:7" hidden="1" outlineLevel="1" x14ac:dyDescent="0.3">
      <c r="A28" s="156" t="s">
        <v>19</v>
      </c>
      <c r="B28" s="158" t="s">
        <v>223</v>
      </c>
      <c r="C28" s="26">
        <v>0.3</v>
      </c>
      <c r="D28" s="25">
        <f>C28*D27</f>
        <v>499.44899999999996</v>
      </c>
      <c r="E28" s="20"/>
      <c r="F28" s="20"/>
      <c r="G28" s="20"/>
    </row>
    <row r="29" spans="1:7" hidden="1" outlineLevel="1" x14ac:dyDescent="0.3">
      <c r="A29" s="156" t="s">
        <v>20</v>
      </c>
      <c r="B29" s="158" t="s">
        <v>41</v>
      </c>
      <c r="C29" s="26">
        <v>0</v>
      </c>
      <c r="D29" s="25">
        <f>C29*D27</f>
        <v>0</v>
      </c>
      <c r="E29" s="20"/>
      <c r="F29" s="20"/>
      <c r="G29" s="20"/>
    </row>
    <row r="30" spans="1:7" hidden="1" outlineLevel="1" x14ac:dyDescent="0.3">
      <c r="A30" s="156" t="s">
        <v>22</v>
      </c>
      <c r="B30" s="158" t="s">
        <v>225</v>
      </c>
      <c r="C30" s="27">
        <v>15</v>
      </c>
      <c r="D30" s="28">
        <f>(D20/C27*C30)*1.5</f>
        <v>170.26670454545453</v>
      </c>
      <c r="E30" s="20"/>
      <c r="F30" s="20"/>
      <c r="G30" s="20"/>
    </row>
    <row r="31" spans="1:7" hidden="1" outlineLevel="1" x14ac:dyDescent="0.3">
      <c r="A31" s="156" t="s">
        <v>25</v>
      </c>
      <c r="B31" s="158" t="s">
        <v>226</v>
      </c>
      <c r="C31" s="26">
        <v>0</v>
      </c>
      <c r="D31" s="28">
        <f>C31*D30</f>
        <v>0</v>
      </c>
      <c r="E31" s="20"/>
      <c r="F31" s="20"/>
      <c r="G31" s="20"/>
    </row>
    <row r="32" spans="1:7" hidden="1" outlineLevel="1" x14ac:dyDescent="0.3">
      <c r="A32" s="156" t="s">
        <v>27</v>
      </c>
      <c r="B32" s="158" t="s">
        <v>227</v>
      </c>
      <c r="C32" s="27">
        <v>0</v>
      </c>
      <c r="D32" s="28">
        <f>(D20/C27)*C32</f>
        <v>0</v>
      </c>
      <c r="E32" s="20"/>
      <c r="F32" s="20"/>
      <c r="G32" s="20"/>
    </row>
    <row r="33" spans="1:7" hidden="1" outlineLevel="1" x14ac:dyDescent="0.3">
      <c r="A33" s="156" t="s">
        <v>29</v>
      </c>
      <c r="B33" s="85" t="s">
        <v>42</v>
      </c>
      <c r="C33" s="86">
        <v>0</v>
      </c>
      <c r="D33" s="87">
        <v>0</v>
      </c>
      <c r="E33" s="20"/>
      <c r="F33" s="20"/>
      <c r="G33" s="20"/>
    </row>
    <row r="34" spans="1:7" collapsed="1" x14ac:dyDescent="0.3">
      <c r="A34" s="280" t="s">
        <v>43</v>
      </c>
      <c r="B34" s="282"/>
      <c r="C34" s="281"/>
      <c r="D34" s="29">
        <f>SUM(D27:D33)</f>
        <v>2334.5457045454546</v>
      </c>
      <c r="E34" s="20"/>
      <c r="F34" s="20"/>
      <c r="G34" s="20"/>
    </row>
    <row r="35" spans="1:7" x14ac:dyDescent="0.3">
      <c r="A35" s="271"/>
      <c r="B35" s="271"/>
      <c r="C35" s="271"/>
      <c r="D35" s="271"/>
      <c r="E35" s="20"/>
      <c r="F35" s="20"/>
      <c r="G35" s="20"/>
    </row>
    <row r="36" spans="1:7" x14ac:dyDescent="0.3">
      <c r="A36" s="286" t="s">
        <v>44</v>
      </c>
      <c r="B36" s="287"/>
      <c r="C36" s="287"/>
      <c r="D36" s="288"/>
      <c r="E36" s="20"/>
      <c r="F36" s="20"/>
      <c r="G36" s="20"/>
    </row>
    <row r="37" spans="1:7" hidden="1" outlineLevel="1" x14ac:dyDescent="0.3">
      <c r="A37" s="289"/>
      <c r="B37" s="290"/>
      <c r="C37" s="290"/>
      <c r="D37" s="291"/>
      <c r="E37" s="20"/>
      <c r="F37" s="20"/>
      <c r="G37" s="20"/>
    </row>
    <row r="38" spans="1:7" hidden="1" outlineLevel="1" x14ac:dyDescent="0.3">
      <c r="A38" s="30" t="s">
        <v>45</v>
      </c>
      <c r="B38" s="31" t="s">
        <v>46</v>
      </c>
      <c r="C38" s="30" t="s">
        <v>47</v>
      </c>
      <c r="D38" s="30" t="s">
        <v>39</v>
      </c>
      <c r="E38" s="20"/>
      <c r="F38" s="20"/>
      <c r="G38" s="20"/>
    </row>
    <row r="39" spans="1:7" hidden="1" outlineLevel="2" x14ac:dyDescent="0.3">
      <c r="A39" s="32" t="s">
        <v>40</v>
      </c>
      <c r="B39" s="33" t="s">
        <v>48</v>
      </c>
      <c r="C39" s="34">
        <f>1/12</f>
        <v>8.3333333333333329E-2</v>
      </c>
      <c r="D39" s="25">
        <f>C39*D34</f>
        <v>194.54547537878787</v>
      </c>
      <c r="E39" s="20"/>
      <c r="F39" s="20"/>
      <c r="G39" s="20"/>
    </row>
    <row r="40" spans="1:7" hidden="1" outlineLevel="2" x14ac:dyDescent="0.3">
      <c r="A40" s="32" t="s">
        <v>19</v>
      </c>
      <c r="B40" s="33" t="s">
        <v>197</v>
      </c>
      <c r="C40" s="34">
        <f>IF(C12&gt;60,(1/C12/3)*5,IF(C12&gt;48,(1/C12/3)*4,IF(C12&gt;36,(1/C12/3)*3,IF(C12&gt;24,(1/C12/3)*2,IF(C12&gt;12,(1/C12/3)*1,0)))))</f>
        <v>1.3888888888888888E-2</v>
      </c>
      <c r="D40" s="25">
        <f>C40*D34</f>
        <v>32.424245896464647</v>
      </c>
      <c r="E40" s="20"/>
      <c r="F40" s="20"/>
      <c r="G40" s="20"/>
    </row>
    <row r="41" spans="1:7" hidden="1" outlineLevel="2" x14ac:dyDescent="0.3">
      <c r="A41" s="35" t="s">
        <v>120</v>
      </c>
      <c r="B41" s="33" t="s">
        <v>121</v>
      </c>
      <c r="C41" s="162">
        <v>0</v>
      </c>
      <c r="D41" s="122">
        <f>-D40*(1/3)*(C41)</f>
        <v>0</v>
      </c>
      <c r="E41" s="20"/>
      <c r="F41" s="20"/>
      <c r="G41" s="20"/>
    </row>
    <row r="42" spans="1:7" hidden="1" outlineLevel="1" collapsed="1" x14ac:dyDescent="0.3">
      <c r="A42" s="292" t="s">
        <v>14</v>
      </c>
      <c r="B42" s="293"/>
      <c r="C42" s="36">
        <f>SUM(C39:C40)</f>
        <v>9.722222222222221E-2</v>
      </c>
      <c r="D42" s="37">
        <f>SUM(D39:D41)</f>
        <v>226.96972127525251</v>
      </c>
      <c r="E42" s="20"/>
      <c r="F42" s="20"/>
      <c r="G42" s="20"/>
    </row>
    <row r="43" spans="1:7" hidden="1" outlineLevel="1" x14ac:dyDescent="0.3">
      <c r="A43" s="289"/>
      <c r="B43" s="290"/>
      <c r="C43" s="290"/>
      <c r="D43" s="291"/>
      <c r="E43" s="20"/>
      <c r="F43" s="20"/>
      <c r="G43" s="20"/>
    </row>
    <row r="44" spans="1:7" hidden="1" outlineLevel="1" x14ac:dyDescent="0.3">
      <c r="A44" s="30" t="s">
        <v>49</v>
      </c>
      <c r="B44" s="38" t="s">
        <v>50</v>
      </c>
      <c r="C44" s="30" t="s">
        <v>47</v>
      </c>
      <c r="D44" s="39" t="s">
        <v>39</v>
      </c>
      <c r="E44" s="20"/>
      <c r="F44" s="20"/>
      <c r="G44" s="20"/>
    </row>
    <row r="45" spans="1:7" hidden="1" outlineLevel="2" x14ac:dyDescent="0.3">
      <c r="A45" s="159" t="s">
        <v>40</v>
      </c>
      <c r="B45" s="40" t="s">
        <v>51</v>
      </c>
      <c r="C45" s="41">
        <v>0.2</v>
      </c>
      <c r="D45" s="25">
        <f>C45*($D$34+$D$42)</f>
        <v>512.30308516414141</v>
      </c>
      <c r="E45" s="20"/>
      <c r="F45" s="20"/>
      <c r="G45" s="20"/>
    </row>
    <row r="46" spans="1:7" hidden="1" outlineLevel="2" x14ac:dyDescent="0.3">
      <c r="A46" s="159" t="s">
        <v>19</v>
      </c>
      <c r="B46" s="40" t="s">
        <v>52</v>
      </c>
      <c r="C46" s="41">
        <v>2.5000000000000001E-2</v>
      </c>
      <c r="D46" s="25">
        <f t="shared" ref="D46:D52" si="0">C46*($D$34+$D$42)</f>
        <v>64.037885645517676</v>
      </c>
      <c r="E46" s="20"/>
      <c r="F46" s="20"/>
      <c r="G46" s="20"/>
    </row>
    <row r="47" spans="1:7" hidden="1" outlineLevel="2" x14ac:dyDescent="0.3">
      <c r="A47" s="159" t="s">
        <v>20</v>
      </c>
      <c r="B47" s="40" t="s">
        <v>114</v>
      </c>
      <c r="C47" s="161">
        <v>0.03</v>
      </c>
      <c r="D47" s="25">
        <f t="shared" si="0"/>
        <v>76.845462774621211</v>
      </c>
      <c r="E47" s="20"/>
      <c r="F47" s="20"/>
      <c r="G47" s="20"/>
    </row>
    <row r="48" spans="1:7" hidden="1" outlineLevel="2" x14ac:dyDescent="0.3">
      <c r="A48" s="159" t="s">
        <v>22</v>
      </c>
      <c r="B48" s="40" t="s">
        <v>232</v>
      </c>
      <c r="C48" s="41">
        <v>1.4999999999999999E-2</v>
      </c>
      <c r="D48" s="25">
        <f t="shared" si="0"/>
        <v>38.422731387310606</v>
      </c>
      <c r="E48" s="20"/>
      <c r="F48" s="20"/>
      <c r="G48" s="20"/>
    </row>
    <row r="49" spans="1:7" hidden="1" outlineLevel="2" x14ac:dyDescent="0.3">
      <c r="A49" s="159" t="s">
        <v>25</v>
      </c>
      <c r="B49" s="40" t="s">
        <v>233</v>
      </c>
      <c r="C49" s="41">
        <v>0.01</v>
      </c>
      <c r="D49" s="25">
        <f>C49*($D$34+$D$42)</f>
        <v>25.61515425820707</v>
      </c>
      <c r="E49" s="20"/>
      <c r="F49" s="20"/>
      <c r="G49" s="20"/>
    </row>
    <row r="50" spans="1:7" hidden="1" outlineLevel="2" x14ac:dyDescent="0.3">
      <c r="A50" s="159" t="s">
        <v>27</v>
      </c>
      <c r="B50" s="40" t="s">
        <v>53</v>
      </c>
      <c r="C50" s="41">
        <v>6.0000000000000001E-3</v>
      </c>
      <c r="D50" s="25">
        <f>C50*($D$34+$D$42)</f>
        <v>15.369092554924244</v>
      </c>
      <c r="E50" s="20"/>
      <c r="F50" s="20"/>
      <c r="G50" s="20"/>
    </row>
    <row r="51" spans="1:7" hidden="1" outlineLevel="2" x14ac:dyDescent="0.3">
      <c r="A51" s="159" t="s">
        <v>29</v>
      </c>
      <c r="B51" s="40" t="s">
        <v>54</v>
      </c>
      <c r="C51" s="41">
        <v>2E-3</v>
      </c>
      <c r="D51" s="25">
        <f t="shared" si="0"/>
        <v>5.1230308516414143</v>
      </c>
      <c r="E51" s="20"/>
      <c r="F51" s="20"/>
      <c r="G51" s="20"/>
    </row>
    <row r="52" spans="1:7" hidden="1" outlineLevel="2" x14ac:dyDescent="0.3">
      <c r="A52" s="159" t="s">
        <v>55</v>
      </c>
      <c r="B52" s="40" t="s">
        <v>56</v>
      </c>
      <c r="C52" s="41">
        <v>0.08</v>
      </c>
      <c r="D52" s="25">
        <f t="shared" si="0"/>
        <v>204.92123406565656</v>
      </c>
      <c r="E52" s="20"/>
      <c r="F52" s="20"/>
      <c r="G52" s="20"/>
    </row>
    <row r="53" spans="1:7" hidden="1" outlineLevel="1" collapsed="1" x14ac:dyDescent="0.3">
      <c r="A53" s="292" t="s">
        <v>14</v>
      </c>
      <c r="B53" s="293"/>
      <c r="C53" s="42">
        <f>SUM(C45:C52)</f>
        <v>0.36800000000000005</v>
      </c>
      <c r="D53" s="43">
        <f>SUM(D45:D52)</f>
        <v>942.63767670202014</v>
      </c>
      <c r="E53" s="20"/>
      <c r="F53" s="20"/>
      <c r="G53" s="20"/>
    </row>
    <row r="54" spans="1:7" hidden="1" outlineLevel="1" x14ac:dyDescent="0.3">
      <c r="A54" s="289"/>
      <c r="B54" s="290"/>
      <c r="C54" s="290"/>
      <c r="D54" s="291"/>
      <c r="E54" s="20"/>
      <c r="F54" s="20"/>
      <c r="G54" s="20"/>
    </row>
    <row r="55" spans="1:7" hidden="1" outlineLevel="1" x14ac:dyDescent="0.3">
      <c r="A55" s="30" t="s">
        <v>57</v>
      </c>
      <c r="B55" s="38" t="s">
        <v>58</v>
      </c>
      <c r="C55" s="30" t="s">
        <v>59</v>
      </c>
      <c r="D55" s="30" t="s">
        <v>39</v>
      </c>
      <c r="E55" s="20"/>
      <c r="F55" s="20"/>
      <c r="G55" s="20"/>
    </row>
    <row r="56" spans="1:7" hidden="1" outlineLevel="2" x14ac:dyDescent="0.3">
      <c r="A56" s="159" t="s">
        <v>40</v>
      </c>
      <c r="B56" s="40" t="s">
        <v>60</v>
      </c>
      <c r="C56" s="44">
        <v>4.38</v>
      </c>
      <c r="D56" s="45">
        <f>(15*2*C56)-(D27*6%)</f>
        <v>31.510200000000012</v>
      </c>
      <c r="E56" s="82"/>
      <c r="F56" s="20"/>
      <c r="G56" s="20"/>
    </row>
    <row r="57" spans="1:7" hidden="1" outlineLevel="2" x14ac:dyDescent="0.3">
      <c r="A57" s="159" t="s">
        <v>19</v>
      </c>
      <c r="B57" s="40" t="s">
        <v>61</v>
      </c>
      <c r="C57" s="83">
        <v>27.6</v>
      </c>
      <c r="D57" s="45">
        <f>C57*15</f>
        <v>414</v>
      </c>
      <c r="E57" s="20"/>
      <c r="F57" s="20"/>
      <c r="G57" s="20"/>
    </row>
    <row r="58" spans="1:7" hidden="1" outlineLevel="2" x14ac:dyDescent="0.3">
      <c r="A58" s="73" t="s">
        <v>97</v>
      </c>
      <c r="B58" s="40" t="s">
        <v>98</v>
      </c>
      <c r="C58" s="84">
        <v>-0.2</v>
      </c>
      <c r="D58" s="122">
        <f>D57*C58</f>
        <v>-82.800000000000011</v>
      </c>
      <c r="E58" s="20"/>
      <c r="F58" s="20"/>
      <c r="G58" s="20"/>
    </row>
    <row r="59" spans="1:7" hidden="1" outlineLevel="2" x14ac:dyDescent="0.3">
      <c r="A59" s="159" t="s">
        <v>20</v>
      </c>
      <c r="B59" s="176" t="s">
        <v>229</v>
      </c>
      <c r="C59" s="169">
        <v>6.0000000000000001E-3</v>
      </c>
      <c r="D59" s="177">
        <f>C59*D27</f>
        <v>9.9889799999999997</v>
      </c>
      <c r="E59" s="20"/>
      <c r="F59" s="20"/>
      <c r="G59" s="20"/>
    </row>
    <row r="60" spans="1:7" hidden="1" outlineLevel="2" x14ac:dyDescent="0.3">
      <c r="A60" s="159" t="s">
        <v>22</v>
      </c>
      <c r="B60" s="178" t="s">
        <v>228</v>
      </c>
      <c r="C60" s="168">
        <v>14</v>
      </c>
      <c r="D60" s="177">
        <f>C60</f>
        <v>14</v>
      </c>
      <c r="E60" s="20"/>
      <c r="F60" s="20"/>
      <c r="G60" s="20"/>
    </row>
    <row r="61" spans="1:7" hidden="1" outlineLevel="2" x14ac:dyDescent="0.3">
      <c r="A61" s="159" t="s">
        <v>25</v>
      </c>
      <c r="B61" s="176" t="s">
        <v>167</v>
      </c>
      <c r="C61" s="169">
        <v>7.0000000000000007E-2</v>
      </c>
      <c r="D61" s="177">
        <f>C61*D34</f>
        <v>163.41819931818185</v>
      </c>
      <c r="E61" s="20"/>
      <c r="F61" s="20"/>
      <c r="G61" s="20"/>
    </row>
    <row r="62" spans="1:7" hidden="1" outlineLevel="2" x14ac:dyDescent="0.3">
      <c r="A62" s="159" t="s">
        <v>27</v>
      </c>
      <c r="B62" s="176" t="s">
        <v>42</v>
      </c>
      <c r="C62" s="84"/>
      <c r="D62" s="177"/>
      <c r="E62" s="20"/>
      <c r="F62" s="20"/>
      <c r="G62" s="20"/>
    </row>
    <row r="63" spans="1:7" hidden="1" outlineLevel="2" x14ac:dyDescent="0.3">
      <c r="A63" s="159" t="s">
        <v>29</v>
      </c>
      <c r="B63" s="176" t="s">
        <v>42</v>
      </c>
      <c r="C63" s="83"/>
      <c r="D63" s="179">
        <f>C63</f>
        <v>0</v>
      </c>
      <c r="E63" s="20"/>
      <c r="F63" s="20"/>
      <c r="G63" s="20"/>
    </row>
    <row r="64" spans="1:7" hidden="1" outlineLevel="1" collapsed="1" x14ac:dyDescent="0.3">
      <c r="A64" s="292" t="s">
        <v>62</v>
      </c>
      <c r="B64" s="294"/>
      <c r="C64" s="293"/>
      <c r="D64" s="37">
        <f>SUM(D56:D63)</f>
        <v>550.11737931818186</v>
      </c>
      <c r="E64" s="20"/>
      <c r="F64" s="20"/>
      <c r="G64" s="20"/>
    </row>
    <row r="65" spans="1:7" hidden="1" outlineLevel="1" x14ac:dyDescent="0.3">
      <c r="A65" s="289"/>
      <c r="B65" s="290"/>
      <c r="C65" s="290"/>
      <c r="D65" s="291"/>
      <c r="E65" s="20"/>
      <c r="F65" s="20"/>
      <c r="G65" s="20"/>
    </row>
    <row r="66" spans="1:7" hidden="1" outlineLevel="1" x14ac:dyDescent="0.3">
      <c r="A66" s="295" t="s">
        <v>63</v>
      </c>
      <c r="B66" s="296"/>
      <c r="C66" s="30" t="s">
        <v>47</v>
      </c>
      <c r="D66" s="30" t="s">
        <v>39</v>
      </c>
      <c r="E66" s="20"/>
      <c r="F66" s="20"/>
      <c r="G66" s="20"/>
    </row>
    <row r="67" spans="1:7" hidden="1" outlineLevel="1" x14ac:dyDescent="0.3">
      <c r="A67" s="159" t="s">
        <v>64</v>
      </c>
      <c r="B67" s="40" t="s">
        <v>46</v>
      </c>
      <c r="C67" s="46">
        <f>C42</f>
        <v>9.722222222222221E-2</v>
      </c>
      <c r="D67" s="25">
        <f>D42</f>
        <v>226.96972127525251</v>
      </c>
      <c r="E67" s="20"/>
      <c r="F67" s="20"/>
      <c r="G67" s="20"/>
    </row>
    <row r="68" spans="1:7" hidden="1" outlineLevel="1" x14ac:dyDescent="0.3">
      <c r="A68" s="159" t="s">
        <v>49</v>
      </c>
      <c r="B68" s="40" t="s">
        <v>50</v>
      </c>
      <c r="C68" s="46">
        <f>C53</f>
        <v>0.36800000000000005</v>
      </c>
      <c r="D68" s="25">
        <f>D53</f>
        <v>942.63767670202014</v>
      </c>
      <c r="E68" s="20"/>
      <c r="F68" s="20"/>
      <c r="G68" s="20"/>
    </row>
    <row r="69" spans="1:7" hidden="1" outlineLevel="1" x14ac:dyDescent="0.3">
      <c r="A69" s="159" t="s">
        <v>65</v>
      </c>
      <c r="B69" s="40" t="s">
        <v>58</v>
      </c>
      <c r="C69" s="46">
        <f>D64/D34</f>
        <v>0.23564215438022101</v>
      </c>
      <c r="D69" s="25">
        <f>D64</f>
        <v>550.11737931818186</v>
      </c>
      <c r="E69" s="20"/>
      <c r="F69" s="20"/>
      <c r="G69" s="20"/>
    </row>
    <row r="70" spans="1:7" collapsed="1" x14ac:dyDescent="0.3">
      <c r="A70" s="292" t="s">
        <v>14</v>
      </c>
      <c r="B70" s="294"/>
      <c r="C70" s="293"/>
      <c r="D70" s="37">
        <f>SUM(D67:D69)</f>
        <v>1719.7247772954547</v>
      </c>
      <c r="E70" s="20"/>
      <c r="F70" s="20"/>
      <c r="G70" s="20"/>
    </row>
    <row r="71" spans="1:7" x14ac:dyDescent="0.3">
      <c r="A71" s="289"/>
      <c r="B71" s="290"/>
      <c r="C71" s="290"/>
      <c r="D71" s="291"/>
      <c r="E71" s="20"/>
      <c r="F71" s="20"/>
      <c r="G71" s="20"/>
    </row>
    <row r="72" spans="1:7" x14ac:dyDescent="0.3">
      <c r="A72" s="283" t="s">
        <v>126</v>
      </c>
      <c r="B72" s="284"/>
      <c r="C72" s="284"/>
      <c r="D72" s="285"/>
      <c r="E72" s="20"/>
      <c r="F72" s="20"/>
      <c r="G72" s="20"/>
    </row>
    <row r="73" spans="1:7" hidden="1" outlineLevel="1" x14ac:dyDescent="0.3">
      <c r="A73" s="289"/>
      <c r="B73" s="290"/>
      <c r="C73" s="290"/>
      <c r="D73" s="291"/>
      <c r="E73" s="20"/>
      <c r="F73" s="20"/>
      <c r="G73" s="20"/>
    </row>
    <row r="74" spans="1:7" hidden="1" outlineLevel="1" x14ac:dyDescent="0.3">
      <c r="A74" s="157" t="s">
        <v>129</v>
      </c>
      <c r="B74" s="31" t="s">
        <v>130</v>
      </c>
      <c r="C74" s="30" t="s">
        <v>47</v>
      </c>
      <c r="D74" s="30" t="s">
        <v>39</v>
      </c>
      <c r="E74" s="20"/>
      <c r="F74" s="20"/>
      <c r="G74" s="20"/>
    </row>
    <row r="75" spans="1:7" hidden="1" outlineLevel="2" x14ac:dyDescent="0.3">
      <c r="A75" s="47" t="s">
        <v>40</v>
      </c>
      <c r="B75" s="48" t="s">
        <v>131</v>
      </c>
      <c r="C75" s="47" t="s">
        <v>132</v>
      </c>
      <c r="D75" s="49">
        <f>IF(C86&gt;1,SUM(D76:D79)*2,SUM(D76:D79))</f>
        <v>3289.8936856388891</v>
      </c>
      <c r="E75" s="20"/>
      <c r="F75" s="20"/>
      <c r="G75" s="20"/>
    </row>
    <row r="76" spans="1:7" hidden="1" outlineLevel="2" x14ac:dyDescent="0.3">
      <c r="A76" s="50" t="s">
        <v>128</v>
      </c>
      <c r="B76" s="51" t="s">
        <v>133</v>
      </c>
      <c r="C76" s="47">
        <f>(IF(C12&gt;60,45,IF(C12&gt;48,42,IF(C12&gt;36,39,IF(C12&gt;24,36,IF(C12&gt;12,33,30)))))/30)</f>
        <v>1.1000000000000001</v>
      </c>
      <c r="D76" s="49">
        <f>D34*C76</f>
        <v>2568.0002750000003</v>
      </c>
      <c r="E76" s="20"/>
      <c r="F76" s="20"/>
      <c r="G76" s="20"/>
    </row>
    <row r="77" spans="1:7" hidden="1" outlineLevel="2" x14ac:dyDescent="0.3">
      <c r="A77" s="50" t="s">
        <v>142</v>
      </c>
      <c r="B77" s="51" t="s">
        <v>134</v>
      </c>
      <c r="C77" s="34">
        <f>1/12</f>
        <v>8.3333333333333329E-2</v>
      </c>
      <c r="D77" s="49">
        <f>C77*D76</f>
        <v>214.00002291666669</v>
      </c>
      <c r="E77" s="20"/>
      <c r="F77" s="20"/>
      <c r="G77" s="20"/>
    </row>
    <row r="78" spans="1:7" hidden="1" outlineLevel="2" x14ac:dyDescent="0.3">
      <c r="A78" s="50" t="s">
        <v>143</v>
      </c>
      <c r="B78" s="51" t="s">
        <v>135</v>
      </c>
      <c r="C78" s="34">
        <f>(1/12)+(1/12/3)</f>
        <v>0.1111111111111111</v>
      </c>
      <c r="D78" s="52">
        <f>C78*D76</f>
        <v>285.33336388888893</v>
      </c>
      <c r="E78" s="20"/>
      <c r="F78" s="20"/>
      <c r="G78" s="20"/>
    </row>
    <row r="79" spans="1:7" hidden="1" outlineLevel="2" x14ac:dyDescent="0.3">
      <c r="A79" s="50" t="s">
        <v>144</v>
      </c>
      <c r="B79" s="51" t="s">
        <v>136</v>
      </c>
      <c r="C79" s="53">
        <v>0.08</v>
      </c>
      <c r="D79" s="49">
        <f>SUM(D76:D77)*C79</f>
        <v>222.56002383333336</v>
      </c>
      <c r="E79" s="20"/>
      <c r="F79" s="20"/>
      <c r="G79" s="20"/>
    </row>
    <row r="80" spans="1:7" hidden="1" outlineLevel="2" x14ac:dyDescent="0.3">
      <c r="A80" s="47" t="s">
        <v>19</v>
      </c>
      <c r="B80" s="48" t="s">
        <v>137</v>
      </c>
      <c r="C80" s="54">
        <v>0.4</v>
      </c>
      <c r="D80" s="49">
        <f>C80*D81</f>
        <v>1967.2438470303027</v>
      </c>
      <c r="E80" s="20"/>
      <c r="F80" s="20"/>
      <c r="G80" s="20"/>
    </row>
    <row r="81" spans="1:7" hidden="1" outlineLevel="2" x14ac:dyDescent="0.3">
      <c r="A81" s="47" t="s">
        <v>120</v>
      </c>
      <c r="B81" s="48" t="s">
        <v>138</v>
      </c>
      <c r="C81" s="54">
        <f>C52</f>
        <v>0.08</v>
      </c>
      <c r="D81" s="49">
        <f>C81*D82</f>
        <v>4918.1096175757566</v>
      </c>
      <c r="E81" s="20"/>
      <c r="F81" s="20"/>
      <c r="G81" s="20"/>
    </row>
    <row r="82" spans="1:7" hidden="1" outlineLevel="2" x14ac:dyDescent="0.3">
      <c r="A82" s="47" t="s">
        <v>145</v>
      </c>
      <c r="B82" s="55" t="s">
        <v>102</v>
      </c>
      <c r="C82" s="56" t="s">
        <v>132</v>
      </c>
      <c r="D82" s="52">
        <f>SUM(D83:D85)</f>
        <v>61476.370219696953</v>
      </c>
      <c r="E82" s="20"/>
      <c r="F82" s="20"/>
      <c r="G82" s="20"/>
    </row>
    <row r="83" spans="1:7" hidden="1" outlineLevel="2" x14ac:dyDescent="0.3">
      <c r="A83" s="50" t="s">
        <v>146</v>
      </c>
      <c r="B83" s="51" t="s">
        <v>139</v>
      </c>
      <c r="C83" s="57">
        <f>C12-C85</f>
        <v>23</v>
      </c>
      <c r="D83" s="49">
        <f>D34*C83</f>
        <v>53694.551204545452</v>
      </c>
      <c r="E83" s="20"/>
      <c r="F83" s="20"/>
      <c r="G83" s="20"/>
    </row>
    <row r="84" spans="1:7" hidden="1" outlineLevel="2" x14ac:dyDescent="0.3">
      <c r="A84" s="50" t="s">
        <v>147</v>
      </c>
      <c r="B84" s="51" t="s">
        <v>140</v>
      </c>
      <c r="C84" s="58">
        <f>C12/12</f>
        <v>2</v>
      </c>
      <c r="D84" s="49">
        <f>D34*C84</f>
        <v>4669.0914090909091</v>
      </c>
      <c r="E84" s="20"/>
      <c r="F84" s="20"/>
      <c r="G84" s="20"/>
    </row>
    <row r="85" spans="1:7" hidden="1" outlineLevel="2" x14ac:dyDescent="0.3">
      <c r="A85" s="50" t="s">
        <v>148</v>
      </c>
      <c r="B85" s="51" t="s">
        <v>141</v>
      </c>
      <c r="C85" s="56">
        <f>IF(C12&gt;60,5,IF(C12&gt;48,4,IF(C12&gt;36,3,IF(C12&gt;24,2,IF(C12&gt;12,1,0)))))</f>
        <v>1</v>
      </c>
      <c r="D85" s="52">
        <f>D34*C85*1.33333333333333</f>
        <v>3112.7276060605982</v>
      </c>
      <c r="E85" s="20"/>
      <c r="F85" s="20"/>
      <c r="G85" s="20"/>
    </row>
    <row r="86" spans="1:7" hidden="1" outlineLevel="1" collapsed="1" x14ac:dyDescent="0.3">
      <c r="A86" s="292" t="s">
        <v>14</v>
      </c>
      <c r="B86" s="293"/>
      <c r="C86" s="163">
        <v>0.1</v>
      </c>
      <c r="D86" s="37">
        <f>IF(C86&gt;1,D75+D80,(D75+D80)*C86)</f>
        <v>525.7137532669193</v>
      </c>
      <c r="E86" s="20"/>
      <c r="F86" s="20"/>
      <c r="G86" s="20"/>
    </row>
    <row r="87" spans="1:7" hidden="1" outlineLevel="1" x14ac:dyDescent="0.3">
      <c r="A87" s="297"/>
      <c r="B87" s="298"/>
      <c r="C87" s="298"/>
      <c r="D87" s="299"/>
      <c r="E87" s="20"/>
      <c r="F87" s="20"/>
      <c r="G87" s="20"/>
    </row>
    <row r="88" spans="1:7" hidden="1" outlineLevel="1" x14ac:dyDescent="0.3">
      <c r="A88" s="157" t="s">
        <v>155</v>
      </c>
      <c r="B88" s="31" t="s">
        <v>154</v>
      </c>
      <c r="C88" s="30" t="s">
        <v>47</v>
      </c>
      <c r="D88" s="30" t="s">
        <v>39</v>
      </c>
      <c r="E88" s="20"/>
      <c r="F88" s="20"/>
      <c r="G88" s="20"/>
    </row>
    <row r="89" spans="1:7" hidden="1" outlineLevel="2" x14ac:dyDescent="0.3">
      <c r="A89" s="47" t="s">
        <v>40</v>
      </c>
      <c r="B89" s="55" t="s">
        <v>149</v>
      </c>
      <c r="C89" s="59">
        <f>IF(C98&gt;1,(1/30*7)*2,(1/30*7))</f>
        <v>0.23333333333333334</v>
      </c>
      <c r="D89" s="52">
        <f>C89*SUM(D90:D94)</f>
        <v>996.17188547946148</v>
      </c>
      <c r="E89" s="20"/>
      <c r="F89" s="20"/>
      <c r="G89" s="20"/>
    </row>
    <row r="90" spans="1:7" hidden="1" outlineLevel="2" x14ac:dyDescent="0.3">
      <c r="A90" s="50" t="s">
        <v>128</v>
      </c>
      <c r="B90" s="51" t="s">
        <v>150</v>
      </c>
      <c r="C90" s="47">
        <v>1</v>
      </c>
      <c r="D90" s="49">
        <f>D34</f>
        <v>2334.5457045454546</v>
      </c>
      <c r="E90" s="20"/>
      <c r="F90" s="20"/>
      <c r="G90" s="20"/>
    </row>
    <row r="91" spans="1:7" hidden="1" outlineLevel="2" x14ac:dyDescent="0.3">
      <c r="A91" s="50" t="s">
        <v>142</v>
      </c>
      <c r="B91" s="51" t="s">
        <v>151</v>
      </c>
      <c r="C91" s="34">
        <f>1/12</f>
        <v>8.3333333333333329E-2</v>
      </c>
      <c r="D91" s="49">
        <f>C91*D90</f>
        <v>194.54547537878787</v>
      </c>
      <c r="E91" s="20"/>
      <c r="F91" s="20"/>
      <c r="G91" s="20"/>
    </row>
    <row r="92" spans="1:7" hidden="1" outlineLevel="2" x14ac:dyDescent="0.3">
      <c r="A92" s="50" t="s">
        <v>143</v>
      </c>
      <c r="B92" s="51" t="s">
        <v>152</v>
      </c>
      <c r="C92" s="34">
        <f>(1/12)+(1/12/3)</f>
        <v>0.1111111111111111</v>
      </c>
      <c r="D92" s="49">
        <f>C92*D90</f>
        <v>259.39396717171718</v>
      </c>
      <c r="E92" s="20"/>
      <c r="F92" s="20"/>
      <c r="G92" s="20"/>
    </row>
    <row r="93" spans="1:7" hidden="1" outlineLevel="2" x14ac:dyDescent="0.3">
      <c r="A93" s="50" t="s">
        <v>144</v>
      </c>
      <c r="B93" s="60" t="s">
        <v>66</v>
      </c>
      <c r="C93" s="61">
        <f>C53</f>
        <v>0.36800000000000005</v>
      </c>
      <c r="D93" s="52">
        <f>C93*(D90+D91)</f>
        <v>930.70555421212146</v>
      </c>
      <c r="E93" s="20"/>
      <c r="F93" s="20"/>
      <c r="G93" s="20"/>
    </row>
    <row r="94" spans="1:7" hidden="1" outlineLevel="2" x14ac:dyDescent="0.3">
      <c r="A94" s="50" t="s">
        <v>156</v>
      </c>
      <c r="B94" s="60" t="s">
        <v>153</v>
      </c>
      <c r="C94" s="62">
        <v>1</v>
      </c>
      <c r="D94" s="52">
        <f>D64</f>
        <v>550.11737931818186</v>
      </c>
      <c r="E94" s="20"/>
      <c r="F94" s="20"/>
      <c r="G94" s="20"/>
    </row>
    <row r="95" spans="1:7" hidden="1" outlineLevel="2" x14ac:dyDescent="0.3">
      <c r="A95" s="47" t="s">
        <v>19</v>
      </c>
      <c r="B95" s="48" t="s">
        <v>220</v>
      </c>
      <c r="C95" s="54">
        <v>0.4</v>
      </c>
      <c r="D95" s="49">
        <f>C95*D96</f>
        <v>1967.2438470303027</v>
      </c>
      <c r="E95" s="63"/>
      <c r="F95" s="20"/>
      <c r="G95" s="20"/>
    </row>
    <row r="96" spans="1:7" hidden="1" outlineLevel="2" x14ac:dyDescent="0.3">
      <c r="A96" s="47" t="s">
        <v>120</v>
      </c>
      <c r="B96" s="48" t="s">
        <v>138</v>
      </c>
      <c r="C96" s="54">
        <f>C52</f>
        <v>0.08</v>
      </c>
      <c r="D96" s="49">
        <f>C96*D97</f>
        <v>4918.1096175757566</v>
      </c>
      <c r="E96" s="20"/>
      <c r="F96" s="20"/>
      <c r="G96" s="20"/>
    </row>
    <row r="97" spans="1:7" hidden="1" outlineLevel="2" x14ac:dyDescent="0.3">
      <c r="A97" s="47" t="s">
        <v>145</v>
      </c>
      <c r="B97" s="55" t="s">
        <v>102</v>
      </c>
      <c r="C97" s="56" t="s">
        <v>132</v>
      </c>
      <c r="D97" s="52">
        <f>D82</f>
        <v>61476.370219696953</v>
      </c>
      <c r="E97" s="20"/>
      <c r="F97" s="20"/>
      <c r="G97" s="20"/>
    </row>
    <row r="98" spans="1:7" hidden="1" outlineLevel="1" collapsed="1" x14ac:dyDescent="0.3">
      <c r="A98" s="292" t="s">
        <v>14</v>
      </c>
      <c r="B98" s="293"/>
      <c r="C98" s="163">
        <v>0.9</v>
      </c>
      <c r="D98" s="37">
        <f>IF(C98&gt;1,D89+D95,(D89+D95)*C98)</f>
        <v>2667.0741592587879</v>
      </c>
      <c r="E98" s="20"/>
      <c r="F98" s="20"/>
      <c r="G98" s="20"/>
    </row>
    <row r="99" spans="1:7" hidden="1" outlineLevel="1" x14ac:dyDescent="0.3">
      <c r="A99" s="297"/>
      <c r="B99" s="298"/>
      <c r="C99" s="298"/>
      <c r="D99" s="299"/>
      <c r="E99" s="20"/>
      <c r="F99" s="20"/>
      <c r="G99" s="20"/>
    </row>
    <row r="100" spans="1:7" hidden="1" outlineLevel="1" x14ac:dyDescent="0.3">
      <c r="A100" s="157" t="s">
        <v>160</v>
      </c>
      <c r="B100" s="31" t="s">
        <v>165</v>
      </c>
      <c r="C100" s="30" t="s">
        <v>47</v>
      </c>
      <c r="D100" s="30" t="s">
        <v>39</v>
      </c>
      <c r="E100" s="20"/>
      <c r="F100" s="20"/>
      <c r="G100" s="20"/>
    </row>
    <row r="101" spans="1:7" hidden="1" outlineLevel="2" x14ac:dyDescent="0.3">
      <c r="A101" s="159" t="s">
        <v>40</v>
      </c>
      <c r="B101" s="40" t="s">
        <v>162</v>
      </c>
      <c r="C101" s="46">
        <f>IF(C12&gt;60,(D34/12*(C12-60))/C12/D34,IF(C12&gt;48,(D34/12*(C12-48))/C12/D34,IF(C12&gt;36,(D34/12*(C12-36))/C12/D34,IF(C12&gt;24,(D34/12*(C12-24))/C12/D34,IF(C12&gt;12,((D34/12*(C12-12))/C12/D34),1/12)))))</f>
        <v>4.1666666666666664E-2</v>
      </c>
      <c r="D101" s="64">
        <f>C101*D34</f>
        <v>97.272737689393935</v>
      </c>
      <c r="E101" s="20"/>
      <c r="F101" s="20"/>
      <c r="G101" s="20"/>
    </row>
    <row r="102" spans="1:7" hidden="1" outlineLevel="2" x14ac:dyDescent="0.3">
      <c r="A102" s="159" t="s">
        <v>19</v>
      </c>
      <c r="B102" s="65" t="s">
        <v>163</v>
      </c>
      <c r="C102" s="46">
        <f>C101/3</f>
        <v>1.3888888888888888E-2</v>
      </c>
      <c r="D102" s="66">
        <f>C102*D34</f>
        <v>32.424245896464647</v>
      </c>
      <c r="E102" s="20"/>
      <c r="F102" s="20"/>
      <c r="G102" s="20"/>
    </row>
    <row r="103" spans="1:7" hidden="1" outlineLevel="2" x14ac:dyDescent="0.3">
      <c r="A103" s="159" t="s">
        <v>20</v>
      </c>
      <c r="B103" s="67" t="s">
        <v>166</v>
      </c>
      <c r="C103" s="71">
        <f>C41</f>
        <v>0</v>
      </c>
      <c r="D103" s="25">
        <f>-D41*4</f>
        <v>0</v>
      </c>
      <c r="E103" s="20"/>
      <c r="F103" s="20"/>
      <c r="G103" s="20"/>
    </row>
    <row r="104" spans="1:7" ht="15.75" hidden="1" customHeight="1" outlineLevel="1" collapsed="1" x14ac:dyDescent="0.3">
      <c r="A104" s="292" t="s">
        <v>14</v>
      </c>
      <c r="B104" s="293"/>
      <c r="C104" s="36">
        <f>C101+C102+(D103/D34)</f>
        <v>5.5555555555555552E-2</v>
      </c>
      <c r="D104" s="37">
        <f>SUM(D101:D103)</f>
        <v>129.69698358585859</v>
      </c>
      <c r="E104" s="20"/>
      <c r="F104" s="20"/>
      <c r="G104" s="20"/>
    </row>
    <row r="105" spans="1:7" hidden="1" outlineLevel="1" x14ac:dyDescent="0.3">
      <c r="A105" s="297"/>
      <c r="B105" s="298"/>
      <c r="C105" s="298"/>
      <c r="D105" s="299"/>
      <c r="E105" s="63"/>
      <c r="F105" s="20"/>
      <c r="G105" s="20"/>
    </row>
    <row r="106" spans="1:7" hidden="1" outlineLevel="1" x14ac:dyDescent="0.3">
      <c r="A106" s="295" t="s">
        <v>161</v>
      </c>
      <c r="B106" s="296"/>
      <c r="C106" s="30" t="s">
        <v>47</v>
      </c>
      <c r="D106" s="30" t="s">
        <v>39</v>
      </c>
      <c r="E106" s="63"/>
      <c r="F106" s="20"/>
      <c r="G106" s="20"/>
    </row>
    <row r="107" spans="1:7" hidden="1" outlineLevel="1" x14ac:dyDescent="0.3">
      <c r="A107" s="159" t="s">
        <v>129</v>
      </c>
      <c r="B107" s="40" t="s">
        <v>130</v>
      </c>
      <c r="C107" s="46">
        <f>C86</f>
        <v>0.1</v>
      </c>
      <c r="D107" s="25">
        <f>D86</f>
        <v>525.7137532669193</v>
      </c>
      <c r="E107" s="63"/>
      <c r="F107" s="20"/>
      <c r="G107" s="20"/>
    </row>
    <row r="108" spans="1:7" hidden="1" outlineLevel="1" x14ac:dyDescent="0.3">
      <c r="A108" s="32" t="s">
        <v>155</v>
      </c>
      <c r="B108" s="40" t="s">
        <v>154</v>
      </c>
      <c r="C108" s="68">
        <f>C98</f>
        <v>0.9</v>
      </c>
      <c r="D108" s="25">
        <f>D98</f>
        <v>2667.0741592587879</v>
      </c>
      <c r="E108" s="63"/>
      <c r="F108" s="20"/>
      <c r="G108" s="20"/>
    </row>
    <row r="109" spans="1:7" hidden="1" outlineLevel="1" x14ac:dyDescent="0.3">
      <c r="A109" s="300" t="s">
        <v>164</v>
      </c>
      <c r="B109" s="300"/>
      <c r="C109" s="300"/>
      <c r="D109" s="69">
        <f>D107+D108</f>
        <v>3192.7879125257073</v>
      </c>
      <c r="E109" s="63"/>
      <c r="F109" s="20"/>
      <c r="G109" s="20"/>
    </row>
    <row r="110" spans="1:7" hidden="1" outlineLevel="1" x14ac:dyDescent="0.3">
      <c r="A110" s="301" t="s">
        <v>195</v>
      </c>
      <c r="B110" s="302"/>
      <c r="C110" s="164">
        <v>0.71030000000000004</v>
      </c>
      <c r="D110" s="123">
        <f>C110*D109</f>
        <v>2267.8372542670099</v>
      </c>
      <c r="E110" s="63"/>
      <c r="F110" s="20"/>
      <c r="G110" s="20"/>
    </row>
    <row r="111" spans="1:7" hidden="1" outlineLevel="1" x14ac:dyDescent="0.3">
      <c r="A111" s="303" t="s">
        <v>194</v>
      </c>
      <c r="B111" s="304"/>
      <c r="C111" s="172">
        <f>1/C12</f>
        <v>4.1666666666666664E-2</v>
      </c>
      <c r="D111" s="132">
        <f>D110*C111</f>
        <v>94.493218927792071</v>
      </c>
      <c r="E111" s="63"/>
      <c r="F111" s="20"/>
      <c r="G111" s="20"/>
    </row>
    <row r="112" spans="1:7" hidden="1" outlineLevel="1" x14ac:dyDescent="0.3">
      <c r="A112" s="32" t="s">
        <v>160</v>
      </c>
      <c r="B112" s="40" t="s">
        <v>159</v>
      </c>
      <c r="C112" s="68"/>
      <c r="D112" s="122">
        <f>D104</f>
        <v>129.69698358585859</v>
      </c>
      <c r="E112" s="63"/>
      <c r="F112" s="20"/>
      <c r="G112" s="20"/>
    </row>
    <row r="113" spans="1:7" collapsed="1" x14ac:dyDescent="0.3">
      <c r="A113" s="292" t="s">
        <v>67</v>
      </c>
      <c r="B113" s="293"/>
      <c r="C113" s="36"/>
      <c r="D113" s="70">
        <f>D111+D112</f>
        <v>224.19020251365066</v>
      </c>
      <c r="E113" s="20"/>
      <c r="F113" s="20"/>
      <c r="G113" s="20"/>
    </row>
    <row r="114" spans="1:7" x14ac:dyDescent="0.3">
      <c r="A114" s="289"/>
      <c r="B114" s="290"/>
      <c r="C114" s="290"/>
      <c r="D114" s="291"/>
      <c r="E114" s="20"/>
      <c r="F114" s="20"/>
      <c r="G114" s="20"/>
    </row>
    <row r="115" spans="1:7" x14ac:dyDescent="0.3">
      <c r="A115" s="286" t="s">
        <v>68</v>
      </c>
      <c r="B115" s="287"/>
      <c r="C115" s="287"/>
      <c r="D115" s="288"/>
      <c r="E115" s="20"/>
      <c r="F115" s="20"/>
      <c r="G115" s="20"/>
    </row>
    <row r="116" spans="1:7" hidden="1" outlineLevel="1" x14ac:dyDescent="0.3">
      <c r="A116" s="297"/>
      <c r="B116" s="298"/>
      <c r="C116" s="298"/>
      <c r="D116" s="299"/>
      <c r="E116" s="20"/>
      <c r="F116" s="20"/>
      <c r="G116" s="20"/>
    </row>
    <row r="117" spans="1:7" hidden="1" outlineLevel="1" x14ac:dyDescent="0.3">
      <c r="A117" s="30" t="s">
        <v>69</v>
      </c>
      <c r="B117" s="38" t="s">
        <v>124</v>
      </c>
      <c r="C117" s="36" t="s">
        <v>47</v>
      </c>
      <c r="D117" s="30" t="s">
        <v>39</v>
      </c>
      <c r="E117" s="20"/>
      <c r="F117" s="20"/>
      <c r="G117" s="20"/>
    </row>
    <row r="118" spans="1:7" hidden="1" outlineLevel="2" x14ac:dyDescent="0.3">
      <c r="A118" s="159" t="s">
        <v>40</v>
      </c>
      <c r="B118" s="40" t="s">
        <v>70</v>
      </c>
      <c r="C118" s="71">
        <f>IF(C12&gt;60,5/C12,IF(C12&gt;48,4/C12,IF(C12&gt;36,3/C12,IF(C12&gt;24,2/C12,IF(C12&gt;12,1/C12,0)))))</f>
        <v>4.1666666666666664E-2</v>
      </c>
      <c r="D118" s="64">
        <f>C118*(D34+D70+D113)</f>
        <v>178.26919518143998</v>
      </c>
      <c r="E118" s="133"/>
      <c r="F118" s="20"/>
      <c r="G118" s="72"/>
    </row>
    <row r="119" spans="1:7" hidden="1" outlineLevel="2" x14ac:dyDescent="0.3">
      <c r="A119" s="73" t="s">
        <v>128</v>
      </c>
      <c r="B119" s="40" t="s">
        <v>127</v>
      </c>
      <c r="C119" s="71">
        <f>C41</f>
        <v>0</v>
      </c>
      <c r="D119" s="122">
        <f>-D118*(1/3)*(C119)</f>
        <v>0</v>
      </c>
      <c r="E119" s="20"/>
      <c r="F119" s="20"/>
      <c r="G119" s="20"/>
    </row>
    <row r="120" spans="1:7" hidden="1" outlineLevel="1" collapsed="1" x14ac:dyDescent="0.3">
      <c r="A120" s="292" t="s">
        <v>158</v>
      </c>
      <c r="B120" s="293"/>
      <c r="C120" s="36">
        <f>C118+(D119/D34)</f>
        <v>4.1666666666666664E-2</v>
      </c>
      <c r="D120" s="37">
        <f>SUM(D118:D119)</f>
        <v>178.26919518143998</v>
      </c>
      <c r="E120" s="20"/>
      <c r="F120" s="20"/>
      <c r="G120" s="20"/>
    </row>
    <row r="121" spans="1:7" hidden="1" outlineLevel="1" x14ac:dyDescent="0.3">
      <c r="A121" s="297"/>
      <c r="B121" s="298"/>
      <c r="C121" s="298"/>
      <c r="D121" s="299"/>
      <c r="E121" s="20"/>
      <c r="F121" s="20"/>
      <c r="G121" s="20"/>
    </row>
    <row r="122" spans="1:7" hidden="1" outlineLevel="1" x14ac:dyDescent="0.3">
      <c r="A122" s="30" t="s">
        <v>123</v>
      </c>
      <c r="B122" s="38" t="s">
        <v>125</v>
      </c>
      <c r="C122" s="36" t="s">
        <v>47</v>
      </c>
      <c r="D122" s="30" t="s">
        <v>39</v>
      </c>
      <c r="E122" s="20"/>
      <c r="F122" s="20"/>
      <c r="G122" s="20"/>
    </row>
    <row r="123" spans="1:7" hidden="1" outlineLevel="2" x14ac:dyDescent="0.3">
      <c r="A123" s="159" t="s">
        <v>40</v>
      </c>
      <c r="B123" s="149" t="s">
        <v>122</v>
      </c>
      <c r="C123" s="165">
        <v>1.35E-2</v>
      </c>
      <c r="D123" s="64">
        <f t="shared" ref="D123:D128" si="1">C123*($D$64+$D$113+$D$34)</f>
        <v>41.969519366093373</v>
      </c>
      <c r="E123" s="20"/>
      <c r="F123" s="20"/>
      <c r="G123" s="72"/>
    </row>
    <row r="124" spans="1:7" hidden="1" outlineLevel="2" x14ac:dyDescent="0.3">
      <c r="A124" s="159" t="s">
        <v>19</v>
      </c>
      <c r="B124" s="40" t="s">
        <v>104</v>
      </c>
      <c r="C124" s="180">
        <v>1.66E-2</v>
      </c>
      <c r="D124" s="64">
        <f t="shared" si="1"/>
        <v>51.606964553862966</v>
      </c>
      <c r="E124" s="20"/>
      <c r="F124" s="20"/>
      <c r="G124" s="72"/>
    </row>
    <row r="125" spans="1:7" hidden="1" outlineLevel="2" x14ac:dyDescent="0.3">
      <c r="A125" s="159" t="s">
        <v>20</v>
      </c>
      <c r="B125" s="40" t="s">
        <v>105</v>
      </c>
      <c r="C125" s="180">
        <v>2.7000000000000001E-3</v>
      </c>
      <c r="D125" s="64">
        <f t="shared" si="1"/>
        <v>8.3939038732186759</v>
      </c>
      <c r="E125" s="20"/>
      <c r="F125" s="20"/>
      <c r="G125" s="72"/>
    </row>
    <row r="126" spans="1:7" hidden="1" outlineLevel="2" x14ac:dyDescent="0.3">
      <c r="A126" s="159" t="s">
        <v>22</v>
      </c>
      <c r="B126" s="40" t="s">
        <v>103</v>
      </c>
      <c r="C126" s="180">
        <v>2.8E-3</v>
      </c>
      <c r="D126" s="64">
        <f t="shared" si="1"/>
        <v>8.7047892018564035</v>
      </c>
      <c r="E126" s="20"/>
      <c r="F126" s="20"/>
      <c r="G126" s="20"/>
    </row>
    <row r="127" spans="1:7" hidden="1" outlineLevel="2" x14ac:dyDescent="0.3">
      <c r="A127" s="159" t="s">
        <v>25</v>
      </c>
      <c r="B127" s="40" t="s">
        <v>71</v>
      </c>
      <c r="C127" s="180">
        <v>2.0000000000000001E-4</v>
      </c>
      <c r="D127" s="64">
        <f t="shared" si="1"/>
        <v>0.62177065727545744</v>
      </c>
      <c r="E127" s="20"/>
      <c r="F127" s="20"/>
      <c r="G127" s="20"/>
    </row>
    <row r="128" spans="1:7" hidden="1" outlineLevel="2" x14ac:dyDescent="0.3">
      <c r="A128" s="159" t="s">
        <v>27</v>
      </c>
      <c r="B128" s="40" t="s">
        <v>72</v>
      </c>
      <c r="C128" s="180">
        <v>2.9999999999999997E-4</v>
      </c>
      <c r="D128" s="64">
        <f t="shared" si="1"/>
        <v>0.93265598591318599</v>
      </c>
      <c r="E128" s="20"/>
      <c r="F128" s="20"/>
      <c r="G128" s="20"/>
    </row>
    <row r="129" spans="1:7" hidden="1" outlineLevel="1" collapsed="1" x14ac:dyDescent="0.3">
      <c r="A129" s="292" t="s">
        <v>158</v>
      </c>
      <c r="B129" s="293"/>
      <c r="C129" s="36">
        <f>SUM(C123:C128)</f>
        <v>3.61E-2</v>
      </c>
      <c r="D129" s="37">
        <f>SUM(D123:D128)</f>
        <v>112.22960363822006</v>
      </c>
      <c r="E129" s="20"/>
      <c r="F129" s="20"/>
      <c r="G129" s="20"/>
    </row>
    <row r="130" spans="1:7" hidden="1" outlineLevel="1" x14ac:dyDescent="0.3">
      <c r="A130" s="297"/>
      <c r="B130" s="298"/>
      <c r="C130" s="298"/>
      <c r="D130" s="299"/>
      <c r="E130" s="20"/>
      <c r="F130" s="20"/>
      <c r="G130" s="20"/>
    </row>
    <row r="131" spans="1:7" hidden="1" outlineLevel="1" x14ac:dyDescent="0.3">
      <c r="A131" s="295" t="s">
        <v>157</v>
      </c>
      <c r="B131" s="296"/>
      <c r="C131" s="30" t="s">
        <v>47</v>
      </c>
      <c r="D131" s="30" t="s">
        <v>39</v>
      </c>
      <c r="E131" s="20"/>
      <c r="F131" s="20"/>
      <c r="G131" s="20"/>
    </row>
    <row r="132" spans="1:7" hidden="1" outlineLevel="1" x14ac:dyDescent="0.3">
      <c r="A132" s="159" t="s">
        <v>69</v>
      </c>
      <c r="B132" s="40" t="s">
        <v>124</v>
      </c>
      <c r="C132" s="46"/>
      <c r="D132" s="98">
        <f>D120</f>
        <v>178.26919518143998</v>
      </c>
      <c r="E132" s="20"/>
      <c r="F132" s="20"/>
      <c r="G132" s="20"/>
    </row>
    <row r="133" spans="1:7" hidden="1" outlineLevel="1" x14ac:dyDescent="0.3">
      <c r="A133" s="159" t="s">
        <v>123</v>
      </c>
      <c r="B133" s="40" t="s">
        <v>125</v>
      </c>
      <c r="C133" s="46"/>
      <c r="D133" s="98">
        <f>D129</f>
        <v>112.22960363822006</v>
      </c>
      <c r="E133" s="20"/>
      <c r="F133" s="20"/>
      <c r="G133" s="20"/>
    </row>
    <row r="134" spans="1:7" collapsed="1" x14ac:dyDescent="0.3">
      <c r="A134" s="292" t="s">
        <v>14</v>
      </c>
      <c r="B134" s="294"/>
      <c r="C134" s="293"/>
      <c r="D134" s="99">
        <f>SUM(D132:D133)</f>
        <v>290.49879881966001</v>
      </c>
      <c r="E134" s="20"/>
      <c r="F134" s="20"/>
      <c r="G134" s="20"/>
    </row>
    <row r="135" spans="1:7" x14ac:dyDescent="0.3">
      <c r="A135" s="297"/>
      <c r="B135" s="298"/>
      <c r="C135" s="298"/>
      <c r="D135" s="299"/>
      <c r="E135" s="20"/>
      <c r="F135" s="20"/>
      <c r="G135" s="20"/>
    </row>
    <row r="136" spans="1:7" x14ac:dyDescent="0.3">
      <c r="A136" s="286" t="s">
        <v>73</v>
      </c>
      <c r="B136" s="287"/>
      <c r="C136" s="287"/>
      <c r="D136" s="288"/>
      <c r="E136" s="20"/>
      <c r="F136" s="20"/>
      <c r="G136" s="20"/>
    </row>
    <row r="137" spans="1:7" hidden="1" outlineLevel="1" x14ac:dyDescent="0.3">
      <c r="A137" s="297"/>
      <c r="B137" s="298"/>
      <c r="C137" s="298"/>
      <c r="D137" s="299"/>
      <c r="E137" s="20"/>
      <c r="F137" s="20"/>
      <c r="G137" s="20"/>
    </row>
    <row r="138" spans="1:7" hidden="1" outlineLevel="1" x14ac:dyDescent="0.3">
      <c r="A138" s="157">
        <v>5</v>
      </c>
      <c r="B138" s="292" t="s">
        <v>248</v>
      </c>
      <c r="C138" s="293"/>
      <c r="D138" s="30" t="s">
        <v>39</v>
      </c>
      <c r="E138" s="20"/>
      <c r="F138" s="20"/>
      <c r="G138" s="20"/>
    </row>
    <row r="139" spans="1:7" hidden="1" outlineLevel="1" x14ac:dyDescent="0.3">
      <c r="A139" s="159" t="s">
        <v>40</v>
      </c>
      <c r="B139" s="308" t="s">
        <v>249</v>
      </c>
      <c r="C139" s="309"/>
      <c r="D139" s="95">
        <f>INSUMOS!H17</f>
        <v>53.838916666666663</v>
      </c>
      <c r="E139" s="20"/>
      <c r="F139" s="20"/>
      <c r="G139" s="20"/>
    </row>
    <row r="140" spans="1:7" hidden="1" outlineLevel="1" x14ac:dyDescent="0.3">
      <c r="A140" s="159" t="s">
        <v>19</v>
      </c>
      <c r="B140" s="308" t="s">
        <v>269</v>
      </c>
      <c r="C140" s="309"/>
      <c r="D140" s="74">
        <f>INSUMOS!H39</f>
        <v>23.641805555555553</v>
      </c>
      <c r="E140" s="20"/>
      <c r="F140" s="20"/>
      <c r="G140" s="20"/>
    </row>
    <row r="141" spans="1:7" hidden="1" outlineLevel="1" x14ac:dyDescent="0.3">
      <c r="A141" s="159" t="s">
        <v>20</v>
      </c>
      <c r="B141" s="310" t="s">
        <v>268</v>
      </c>
      <c r="C141" s="311"/>
      <c r="D141" s="181">
        <f>INSUMOS!H49</f>
        <v>31.25</v>
      </c>
      <c r="E141" s="20"/>
      <c r="F141" s="20"/>
      <c r="G141" s="20"/>
    </row>
    <row r="142" spans="1:7" hidden="1" outlineLevel="1" x14ac:dyDescent="0.3">
      <c r="A142" s="159" t="s">
        <v>25</v>
      </c>
      <c r="B142" s="312" t="s">
        <v>42</v>
      </c>
      <c r="C142" s="313"/>
      <c r="D142" s="96">
        <v>0</v>
      </c>
      <c r="E142" s="20"/>
      <c r="F142" s="20"/>
      <c r="G142" s="20"/>
    </row>
    <row r="143" spans="1:7" collapsed="1" x14ac:dyDescent="0.3">
      <c r="A143" s="292" t="s">
        <v>74</v>
      </c>
      <c r="B143" s="294"/>
      <c r="C143" s="293"/>
      <c r="D143" s="97">
        <f>SUM(D139:D142)</f>
        <v>108.73072222222221</v>
      </c>
      <c r="E143" s="20"/>
      <c r="F143" s="20"/>
      <c r="G143" s="20"/>
    </row>
    <row r="144" spans="1:7" x14ac:dyDescent="0.3">
      <c r="A144" s="289"/>
      <c r="B144" s="290"/>
      <c r="C144" s="290"/>
      <c r="D144" s="291"/>
      <c r="E144" s="20"/>
      <c r="F144" s="20"/>
      <c r="G144" s="20"/>
    </row>
    <row r="145" spans="1:7" x14ac:dyDescent="0.3">
      <c r="A145" s="314" t="s">
        <v>75</v>
      </c>
      <c r="B145" s="314"/>
      <c r="C145" s="314"/>
      <c r="D145" s="160">
        <f>D34+D70+D113+D134+D143</f>
        <v>4677.6902053964423</v>
      </c>
      <c r="E145" s="20"/>
      <c r="F145" s="20"/>
      <c r="G145" s="20"/>
    </row>
    <row r="146" spans="1:7" x14ac:dyDescent="0.3">
      <c r="A146" s="271"/>
      <c r="B146" s="271"/>
      <c r="C146" s="271"/>
      <c r="D146" s="271"/>
      <c r="E146" s="20"/>
      <c r="F146" s="20"/>
      <c r="G146" s="20"/>
    </row>
    <row r="147" spans="1:7" x14ac:dyDescent="0.3">
      <c r="A147" s="315" t="s">
        <v>76</v>
      </c>
      <c r="B147" s="315"/>
      <c r="C147" s="315"/>
      <c r="D147" s="315"/>
      <c r="E147" s="20"/>
      <c r="F147" s="20"/>
      <c r="G147" s="20"/>
    </row>
    <row r="148" spans="1:7" hidden="1" outlineLevel="1" x14ac:dyDescent="0.3">
      <c r="A148" s="316"/>
      <c r="B148" s="317"/>
      <c r="C148" s="317"/>
      <c r="D148" s="318"/>
      <c r="E148" s="20"/>
      <c r="F148" s="20"/>
      <c r="G148" s="20"/>
    </row>
    <row r="149" spans="1:7" hidden="1" outlineLevel="1" x14ac:dyDescent="0.3">
      <c r="A149" s="157">
        <v>6</v>
      </c>
      <c r="B149" s="38" t="s">
        <v>77</v>
      </c>
      <c r="C149" s="30" t="s">
        <v>47</v>
      </c>
      <c r="D149" s="30" t="s">
        <v>39</v>
      </c>
      <c r="E149" s="20"/>
      <c r="F149" s="20"/>
      <c r="G149" s="20"/>
    </row>
    <row r="150" spans="1:7" hidden="1" outlineLevel="1" x14ac:dyDescent="0.3">
      <c r="A150" s="159" t="s">
        <v>40</v>
      </c>
      <c r="B150" s="40" t="s">
        <v>78</v>
      </c>
      <c r="C150" s="166">
        <v>5.6599999999999998E-2</v>
      </c>
      <c r="D150" s="28">
        <f>C150*D145</f>
        <v>264.75726562543861</v>
      </c>
      <c r="E150" s="20"/>
      <c r="F150" s="20"/>
      <c r="G150" s="20"/>
    </row>
    <row r="151" spans="1:7" hidden="1" outlineLevel="1" x14ac:dyDescent="0.3">
      <c r="A151" s="305" t="s">
        <v>4</v>
      </c>
      <c r="B151" s="306"/>
      <c r="C151" s="307"/>
      <c r="D151" s="28">
        <f>D145+D150</f>
        <v>4942.447471021881</v>
      </c>
      <c r="E151" s="20"/>
      <c r="F151" s="20"/>
      <c r="G151" s="20"/>
    </row>
    <row r="152" spans="1:7" hidden="1" outlineLevel="1" x14ac:dyDescent="0.3">
      <c r="A152" s="159" t="s">
        <v>19</v>
      </c>
      <c r="B152" s="40" t="s">
        <v>79</v>
      </c>
      <c r="C152" s="166">
        <v>5.62E-2</v>
      </c>
      <c r="D152" s="28">
        <f>C152*D151</f>
        <v>277.7655478714297</v>
      </c>
      <c r="E152" s="20"/>
      <c r="F152" s="20"/>
      <c r="G152" s="20"/>
    </row>
    <row r="153" spans="1:7" hidden="1" outlineLevel="1" x14ac:dyDescent="0.3">
      <c r="A153" s="305" t="s">
        <v>4</v>
      </c>
      <c r="B153" s="306"/>
      <c r="C153" s="306"/>
      <c r="D153" s="28">
        <f>D152+D151</f>
        <v>5220.2130188933106</v>
      </c>
      <c r="E153" s="20"/>
      <c r="F153" s="20"/>
      <c r="G153" s="20"/>
    </row>
    <row r="154" spans="1:7" hidden="1" outlineLevel="1" x14ac:dyDescent="0.3">
      <c r="A154" s="159" t="s">
        <v>20</v>
      </c>
      <c r="B154" s="310" t="s">
        <v>80</v>
      </c>
      <c r="C154" s="319"/>
      <c r="D154" s="311"/>
      <c r="E154" s="20"/>
      <c r="F154" s="20"/>
      <c r="G154" s="20"/>
    </row>
    <row r="155" spans="1:7" hidden="1" outlineLevel="1" x14ac:dyDescent="0.3">
      <c r="A155" s="88"/>
      <c r="B155" s="158" t="s">
        <v>81</v>
      </c>
      <c r="C155" s="166">
        <v>6.4999999999999997E-3</v>
      </c>
      <c r="D155" s="28">
        <f>(D153/(1-C158)*C155)</f>
        <v>36.154911691855638</v>
      </c>
      <c r="E155" s="20"/>
      <c r="F155" s="20"/>
      <c r="G155" s="20"/>
    </row>
    <row r="156" spans="1:7" hidden="1" outlineLevel="1" x14ac:dyDescent="0.3">
      <c r="A156" s="88"/>
      <c r="B156" s="158" t="s">
        <v>82</v>
      </c>
      <c r="C156" s="166">
        <v>0.03</v>
      </c>
      <c r="D156" s="28">
        <f>(D153/(1-C158)*C156)</f>
        <v>166.86882319317985</v>
      </c>
      <c r="E156" s="20"/>
      <c r="F156" s="20"/>
      <c r="G156" s="20"/>
    </row>
    <row r="157" spans="1:7" hidden="1" outlineLevel="1" x14ac:dyDescent="0.3">
      <c r="A157" s="88"/>
      <c r="B157" s="158" t="s">
        <v>238</v>
      </c>
      <c r="C157" s="75">
        <v>2.5000000000000001E-2</v>
      </c>
      <c r="D157" s="28">
        <f>(D153/(1-C158)*C157)</f>
        <v>139.05735266098324</v>
      </c>
      <c r="E157" s="20"/>
      <c r="F157" s="20"/>
      <c r="G157" s="20"/>
    </row>
    <row r="158" spans="1:7" hidden="1" outlineLevel="1" x14ac:dyDescent="0.3">
      <c r="A158" s="305" t="s">
        <v>83</v>
      </c>
      <c r="B158" s="307"/>
      <c r="C158" s="76">
        <f>SUM(C155:C157)</f>
        <v>6.1499999999999999E-2</v>
      </c>
      <c r="D158" s="28">
        <f>SUM(D155:D157)</f>
        <v>342.08108754601869</v>
      </c>
      <c r="E158" s="20"/>
      <c r="F158" s="20"/>
      <c r="G158" s="20"/>
    </row>
    <row r="159" spans="1:7" collapsed="1" x14ac:dyDescent="0.3">
      <c r="A159" s="292" t="s">
        <v>84</v>
      </c>
      <c r="B159" s="293"/>
      <c r="C159" s="77">
        <f>SUM(C150+C152+C158)</f>
        <v>0.17430000000000001</v>
      </c>
      <c r="D159" s="29">
        <f>SUM(D158+D150+D152)</f>
        <v>884.60390104288706</v>
      </c>
      <c r="E159" s="20"/>
      <c r="F159" s="20"/>
      <c r="G159" s="20"/>
    </row>
    <row r="160" spans="1:7" x14ac:dyDescent="0.3">
      <c r="A160" s="289"/>
      <c r="B160" s="290"/>
      <c r="C160" s="290"/>
      <c r="D160" s="291"/>
      <c r="E160" s="20"/>
      <c r="F160" s="20"/>
      <c r="G160" s="20"/>
    </row>
    <row r="161" spans="1:7" x14ac:dyDescent="0.3">
      <c r="A161" s="280" t="s">
        <v>85</v>
      </c>
      <c r="B161" s="282"/>
      <c r="C161" s="281"/>
      <c r="D161" s="78" t="s">
        <v>39</v>
      </c>
      <c r="E161" s="20"/>
      <c r="F161" s="20"/>
      <c r="G161" s="20"/>
    </row>
    <row r="162" spans="1:7" x14ac:dyDescent="0.3">
      <c r="A162" s="275" t="s">
        <v>86</v>
      </c>
      <c r="B162" s="320"/>
      <c r="C162" s="320"/>
      <c r="D162" s="276"/>
      <c r="E162" s="20"/>
      <c r="F162" s="20"/>
      <c r="G162" s="20"/>
    </row>
    <row r="163" spans="1:7" x14ac:dyDescent="0.3">
      <c r="A163" s="156" t="s">
        <v>40</v>
      </c>
      <c r="B163" s="275" t="s">
        <v>87</v>
      </c>
      <c r="C163" s="276"/>
      <c r="D163" s="25">
        <f>D34</f>
        <v>2334.5457045454546</v>
      </c>
      <c r="E163" s="20"/>
      <c r="F163" s="20"/>
      <c r="G163" s="20"/>
    </row>
    <row r="164" spans="1:7" x14ac:dyDescent="0.3">
      <c r="A164" s="156" t="s">
        <v>19</v>
      </c>
      <c r="B164" s="275" t="s">
        <v>88</v>
      </c>
      <c r="C164" s="276"/>
      <c r="D164" s="25">
        <f>D70</f>
        <v>1719.7247772954547</v>
      </c>
      <c r="E164" s="20"/>
      <c r="F164" s="20"/>
      <c r="G164" s="20"/>
    </row>
    <row r="165" spans="1:7" x14ac:dyDescent="0.3">
      <c r="A165" s="156" t="s">
        <v>20</v>
      </c>
      <c r="B165" s="275" t="s">
        <v>89</v>
      </c>
      <c r="C165" s="276"/>
      <c r="D165" s="25">
        <f>D113</f>
        <v>224.19020251365066</v>
      </c>
      <c r="E165" s="20"/>
      <c r="F165" s="20"/>
      <c r="G165" s="20"/>
    </row>
    <row r="166" spans="1:7" x14ac:dyDescent="0.3">
      <c r="A166" s="156" t="s">
        <v>22</v>
      </c>
      <c r="B166" s="275" t="s">
        <v>90</v>
      </c>
      <c r="C166" s="276"/>
      <c r="D166" s="25">
        <f>D134</f>
        <v>290.49879881966001</v>
      </c>
      <c r="E166" s="20"/>
      <c r="F166" s="20"/>
      <c r="G166" s="20"/>
    </row>
    <row r="167" spans="1:7" x14ac:dyDescent="0.3">
      <c r="A167" s="156" t="s">
        <v>25</v>
      </c>
      <c r="B167" s="275" t="s">
        <v>91</v>
      </c>
      <c r="C167" s="276"/>
      <c r="D167" s="25">
        <f>D143</f>
        <v>108.73072222222221</v>
      </c>
      <c r="E167" s="20"/>
      <c r="F167" s="20"/>
      <c r="G167" s="20"/>
    </row>
    <row r="168" spans="1:7" x14ac:dyDescent="0.3">
      <c r="A168" s="321" t="s">
        <v>92</v>
      </c>
      <c r="B168" s="322"/>
      <c r="C168" s="323"/>
      <c r="D168" s="25">
        <f>SUM(D163:D167)</f>
        <v>4677.6902053964423</v>
      </c>
      <c r="E168" s="20"/>
      <c r="F168" s="20"/>
      <c r="G168" s="20"/>
    </row>
    <row r="169" spans="1:7" x14ac:dyDescent="0.3">
      <c r="A169" s="156" t="s">
        <v>93</v>
      </c>
      <c r="B169" s="275" t="s">
        <v>94</v>
      </c>
      <c r="C169" s="276"/>
      <c r="D169" s="25">
        <f>D159</f>
        <v>884.60390104288706</v>
      </c>
      <c r="E169" s="20"/>
      <c r="F169" s="20"/>
      <c r="G169" s="20"/>
    </row>
    <row r="170" spans="1:7" x14ac:dyDescent="0.3">
      <c r="A170" s="280" t="s">
        <v>95</v>
      </c>
      <c r="B170" s="282"/>
      <c r="C170" s="281"/>
      <c r="D170" s="124">
        <f xml:space="preserve"> D168+D169</f>
        <v>5562.294106439329</v>
      </c>
      <c r="E170" s="20"/>
      <c r="F170" s="20"/>
      <c r="G170" s="20"/>
    </row>
    <row r="171" spans="1:7" x14ac:dyDescent="0.3">
      <c r="A171" s="20"/>
      <c r="B171" s="20"/>
      <c r="C171" s="20"/>
      <c r="D171" s="20"/>
      <c r="E171" s="20"/>
      <c r="F171" s="20"/>
      <c r="G171" s="20"/>
    </row>
    <row r="172" spans="1:7" x14ac:dyDescent="0.3">
      <c r="A172" s="324" t="s">
        <v>3</v>
      </c>
      <c r="B172" s="325"/>
      <c r="C172" s="326"/>
      <c r="D172" s="79" t="s">
        <v>2</v>
      </c>
      <c r="E172" s="20"/>
      <c r="F172" s="20"/>
      <c r="G172" s="20"/>
    </row>
    <row r="173" spans="1:7" x14ac:dyDescent="0.3">
      <c r="A173" s="327" t="s">
        <v>113</v>
      </c>
      <c r="B173" s="328"/>
      <c r="C173" s="329"/>
      <c r="D173" s="80">
        <f>C17</f>
        <v>2</v>
      </c>
      <c r="E173" s="20"/>
      <c r="F173" s="20"/>
      <c r="G173" s="20"/>
    </row>
    <row r="174" spans="1:7" x14ac:dyDescent="0.3">
      <c r="A174" s="327" t="s">
        <v>0</v>
      </c>
      <c r="B174" s="328"/>
      <c r="C174" s="329"/>
      <c r="D174" s="90">
        <f>D173*D170</f>
        <v>11124.588212878658</v>
      </c>
      <c r="E174" s="20"/>
      <c r="F174" s="20"/>
      <c r="G174" s="20"/>
    </row>
    <row r="175" spans="1:7" x14ac:dyDescent="0.3">
      <c r="A175" s="20"/>
      <c r="B175" s="20"/>
      <c r="C175" s="20"/>
      <c r="D175" s="20"/>
      <c r="E175" s="20"/>
      <c r="F175" s="20"/>
      <c r="G175" s="20"/>
    </row>
    <row r="176" spans="1:7" x14ac:dyDescent="0.3">
      <c r="A176" s="20"/>
      <c r="B176" s="20"/>
      <c r="C176" s="20"/>
      <c r="D176" s="20"/>
      <c r="E176" s="20"/>
      <c r="F176" s="20"/>
      <c r="G176" s="20"/>
    </row>
  </sheetData>
  <mergeCells count="96">
    <mergeCell ref="C10:D10"/>
    <mergeCell ref="A1:D1"/>
    <mergeCell ref="A2:B2"/>
    <mergeCell ref="C2:D2"/>
    <mergeCell ref="A3:B3"/>
    <mergeCell ref="C3:D3"/>
    <mergeCell ref="A4:D4"/>
    <mergeCell ref="A5:D5"/>
    <mergeCell ref="C6:D6"/>
    <mergeCell ref="C7:D7"/>
    <mergeCell ref="C8:D8"/>
    <mergeCell ref="C9:D9"/>
    <mergeCell ref="B22:C22"/>
    <mergeCell ref="C11:D11"/>
    <mergeCell ref="C12:D12"/>
    <mergeCell ref="A13:D13"/>
    <mergeCell ref="A14:D14"/>
    <mergeCell ref="A15:D15"/>
    <mergeCell ref="C16:D16"/>
    <mergeCell ref="C17:D17"/>
    <mergeCell ref="C18:D18"/>
    <mergeCell ref="A19:D19"/>
    <mergeCell ref="B20:C20"/>
    <mergeCell ref="B21:C21"/>
    <mergeCell ref="A54:D54"/>
    <mergeCell ref="A23:D23"/>
    <mergeCell ref="A24:D24"/>
    <mergeCell ref="A25:D25"/>
    <mergeCell ref="B26:C26"/>
    <mergeCell ref="A34:C34"/>
    <mergeCell ref="A35:D35"/>
    <mergeCell ref="A36:D36"/>
    <mergeCell ref="A37:D37"/>
    <mergeCell ref="A42:B42"/>
    <mergeCell ref="A43:D43"/>
    <mergeCell ref="A53:B53"/>
    <mergeCell ref="A104:B104"/>
    <mergeCell ref="A64:C64"/>
    <mergeCell ref="A65:D65"/>
    <mergeCell ref="A66:B66"/>
    <mergeCell ref="A70:C70"/>
    <mergeCell ref="A71:D71"/>
    <mergeCell ref="A72:D72"/>
    <mergeCell ref="A73:D73"/>
    <mergeCell ref="A86:B86"/>
    <mergeCell ref="A87:D87"/>
    <mergeCell ref="A98:B98"/>
    <mergeCell ref="A99:D99"/>
    <mergeCell ref="A129:B129"/>
    <mergeCell ref="A105:D105"/>
    <mergeCell ref="A106:B106"/>
    <mergeCell ref="A109:C109"/>
    <mergeCell ref="A110:B110"/>
    <mergeCell ref="A111:B111"/>
    <mergeCell ref="A113:B113"/>
    <mergeCell ref="A114:D114"/>
    <mergeCell ref="A115:D115"/>
    <mergeCell ref="A116:D116"/>
    <mergeCell ref="A120:B120"/>
    <mergeCell ref="A121:D121"/>
    <mergeCell ref="A143:C143"/>
    <mergeCell ref="A130:D130"/>
    <mergeCell ref="A131:B131"/>
    <mergeCell ref="A134:C134"/>
    <mergeCell ref="A135:D135"/>
    <mergeCell ref="A136:D136"/>
    <mergeCell ref="A137:D137"/>
    <mergeCell ref="B138:C138"/>
    <mergeCell ref="B139:C139"/>
    <mergeCell ref="B140:C140"/>
    <mergeCell ref="B141:C141"/>
    <mergeCell ref="B142:C142"/>
    <mergeCell ref="A161:C161"/>
    <mergeCell ref="A144:D144"/>
    <mergeCell ref="A145:C145"/>
    <mergeCell ref="A146:D146"/>
    <mergeCell ref="A147:D147"/>
    <mergeCell ref="A148:D148"/>
    <mergeCell ref="A151:C151"/>
    <mergeCell ref="A153:C153"/>
    <mergeCell ref="B154:D154"/>
    <mergeCell ref="A158:B158"/>
    <mergeCell ref="A159:B159"/>
    <mergeCell ref="A160:D160"/>
    <mergeCell ref="A174:C174"/>
    <mergeCell ref="A162:D162"/>
    <mergeCell ref="B163:C163"/>
    <mergeCell ref="B164:C164"/>
    <mergeCell ref="B165:C165"/>
    <mergeCell ref="B166:C166"/>
    <mergeCell ref="B167:C167"/>
    <mergeCell ref="A168:C168"/>
    <mergeCell ref="B169:C169"/>
    <mergeCell ref="A170:C170"/>
    <mergeCell ref="A172:C172"/>
    <mergeCell ref="A173:C17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7C153A-5CD7-4A39-B6A8-41DAF3E32AA5}">
  <sheetPr codeName="Planilha5"/>
  <dimension ref="A1:WVO176"/>
  <sheetViews>
    <sheetView zoomScale="85" zoomScaleNormal="85" workbookViewId="0">
      <selection activeCell="A13" sqref="A13:D13"/>
    </sheetView>
  </sheetViews>
  <sheetFormatPr defaultColWidth="0" defaultRowHeight="15.75" customHeight="1" zeroHeight="1" outlineLevelRow="2" x14ac:dyDescent="0.3"/>
  <cols>
    <col min="1" max="1" width="18.7109375" style="21" customWidth="1"/>
    <col min="2" max="2" width="72" style="21" customWidth="1"/>
    <col min="3" max="3" width="22.85546875" style="21" customWidth="1"/>
    <col min="4" max="4" width="29.85546875" style="21" customWidth="1"/>
    <col min="5" max="5" width="11.85546875" style="81" customWidth="1"/>
    <col min="6" max="6" width="9.140625" style="81" customWidth="1"/>
    <col min="7" max="254" width="9.140625" style="81" hidden="1"/>
    <col min="255" max="255" width="18.7109375" style="81" hidden="1"/>
    <col min="256" max="256" width="72" style="81" hidden="1"/>
    <col min="257" max="257" width="22.85546875" style="81" hidden="1"/>
    <col min="258" max="258" width="29.85546875" style="81" hidden="1"/>
    <col min="259" max="260" width="9.140625" style="81" hidden="1"/>
    <col min="261" max="261" width="15.42578125" style="81" hidden="1"/>
    <col min="262" max="510" width="9.140625" style="81" hidden="1"/>
    <col min="511" max="511" width="18.7109375" style="81" hidden="1"/>
    <col min="512" max="512" width="72" style="81" hidden="1"/>
    <col min="513" max="513" width="22.85546875" style="81" hidden="1"/>
    <col min="514" max="514" width="29.85546875" style="81" hidden="1"/>
    <col min="515" max="516" width="9.140625" style="81" hidden="1"/>
    <col min="517" max="517" width="15.42578125" style="81" hidden="1"/>
    <col min="518" max="766" width="9.140625" style="81" hidden="1"/>
    <col min="767" max="767" width="18.7109375" style="81" hidden="1"/>
    <col min="768" max="768" width="72" style="81" hidden="1"/>
    <col min="769" max="769" width="22.85546875" style="81" hidden="1"/>
    <col min="770" max="770" width="29.85546875" style="81" hidden="1"/>
    <col min="771" max="772" width="9.140625" style="81" hidden="1"/>
    <col min="773" max="773" width="15.42578125" style="81" hidden="1"/>
    <col min="774" max="1022" width="9.140625" style="81" hidden="1"/>
    <col min="1023" max="1023" width="18.7109375" style="81" hidden="1"/>
    <col min="1024" max="1024" width="72" style="81" hidden="1"/>
    <col min="1025" max="1025" width="22.85546875" style="81" hidden="1"/>
    <col min="1026" max="1026" width="29.85546875" style="81" hidden="1"/>
    <col min="1027" max="1028" width="9.140625" style="81" hidden="1"/>
    <col min="1029" max="1029" width="15.42578125" style="81" hidden="1"/>
    <col min="1030" max="1278" width="9.140625" style="81" hidden="1"/>
    <col min="1279" max="1279" width="18.7109375" style="81" hidden="1"/>
    <col min="1280" max="1280" width="72" style="81" hidden="1"/>
    <col min="1281" max="1281" width="22.85546875" style="81" hidden="1"/>
    <col min="1282" max="1282" width="29.85546875" style="81" hidden="1"/>
    <col min="1283" max="1284" width="9.140625" style="81" hidden="1"/>
    <col min="1285" max="1285" width="15.42578125" style="81" hidden="1"/>
    <col min="1286" max="1534" width="9.140625" style="81" hidden="1"/>
    <col min="1535" max="1535" width="18.7109375" style="81" hidden="1"/>
    <col min="1536" max="1536" width="72" style="81" hidden="1"/>
    <col min="1537" max="1537" width="22.85546875" style="81" hidden="1"/>
    <col min="1538" max="1538" width="29.85546875" style="81" hidden="1"/>
    <col min="1539" max="1540" width="9.140625" style="81" hidden="1"/>
    <col min="1541" max="1541" width="15.42578125" style="81" hidden="1"/>
    <col min="1542" max="1790" width="9.140625" style="81" hidden="1"/>
    <col min="1791" max="1791" width="18.7109375" style="81" hidden="1"/>
    <col min="1792" max="1792" width="72" style="81" hidden="1"/>
    <col min="1793" max="1793" width="22.85546875" style="81" hidden="1"/>
    <col min="1794" max="1794" width="29.85546875" style="81" hidden="1"/>
    <col min="1795" max="1796" width="9.140625" style="81" hidden="1"/>
    <col min="1797" max="1797" width="15.42578125" style="81" hidden="1"/>
    <col min="1798" max="2046" width="9.140625" style="81" hidden="1"/>
    <col min="2047" max="2047" width="18.7109375" style="81" hidden="1"/>
    <col min="2048" max="2048" width="72" style="81" hidden="1"/>
    <col min="2049" max="2049" width="22.85546875" style="81" hidden="1"/>
    <col min="2050" max="2050" width="29.85546875" style="81" hidden="1"/>
    <col min="2051" max="2052" width="9.140625" style="81" hidden="1"/>
    <col min="2053" max="2053" width="15.42578125" style="81" hidden="1"/>
    <col min="2054" max="2302" width="9.140625" style="81" hidden="1"/>
    <col min="2303" max="2303" width="18.7109375" style="81" hidden="1"/>
    <col min="2304" max="2304" width="72" style="81" hidden="1"/>
    <col min="2305" max="2305" width="22.85546875" style="81" hidden="1"/>
    <col min="2306" max="2306" width="29.85546875" style="81" hidden="1"/>
    <col min="2307" max="2308" width="9.140625" style="81" hidden="1"/>
    <col min="2309" max="2309" width="15.42578125" style="81" hidden="1"/>
    <col min="2310" max="2558" width="9.140625" style="81" hidden="1"/>
    <col min="2559" max="2559" width="18.7109375" style="81" hidden="1"/>
    <col min="2560" max="2560" width="72" style="81" hidden="1"/>
    <col min="2561" max="2561" width="22.85546875" style="81" hidden="1"/>
    <col min="2562" max="2562" width="29.85546875" style="81" hidden="1"/>
    <col min="2563" max="2564" width="9.140625" style="81" hidden="1"/>
    <col min="2565" max="2565" width="15.42578125" style="81" hidden="1"/>
    <col min="2566" max="2814" width="9.140625" style="81" hidden="1"/>
    <col min="2815" max="2815" width="18.7109375" style="81" hidden="1"/>
    <col min="2816" max="2816" width="72" style="81" hidden="1"/>
    <col min="2817" max="2817" width="22.85546875" style="81" hidden="1"/>
    <col min="2818" max="2818" width="29.85546875" style="81" hidden="1"/>
    <col min="2819" max="2820" width="9.140625" style="81" hidden="1"/>
    <col min="2821" max="2821" width="15.42578125" style="81" hidden="1"/>
    <col min="2822" max="3070" width="9.140625" style="81" hidden="1"/>
    <col min="3071" max="3071" width="18.7109375" style="81" hidden="1"/>
    <col min="3072" max="3072" width="72" style="81" hidden="1"/>
    <col min="3073" max="3073" width="22.85546875" style="81" hidden="1"/>
    <col min="3074" max="3074" width="29.85546875" style="81" hidden="1"/>
    <col min="3075" max="3076" width="9.140625" style="81" hidden="1"/>
    <col min="3077" max="3077" width="15.42578125" style="81" hidden="1"/>
    <col min="3078" max="3326" width="9.140625" style="81" hidden="1"/>
    <col min="3327" max="3327" width="18.7109375" style="81" hidden="1"/>
    <col min="3328" max="3328" width="72" style="81" hidden="1"/>
    <col min="3329" max="3329" width="22.85546875" style="81" hidden="1"/>
    <col min="3330" max="3330" width="29.85546875" style="81" hidden="1"/>
    <col min="3331" max="3332" width="9.140625" style="81" hidden="1"/>
    <col min="3333" max="3333" width="15.42578125" style="81" hidden="1"/>
    <col min="3334" max="3582" width="9.140625" style="81" hidden="1"/>
    <col min="3583" max="3583" width="18.7109375" style="81" hidden="1"/>
    <col min="3584" max="3584" width="72" style="81" hidden="1"/>
    <col min="3585" max="3585" width="22.85546875" style="81" hidden="1"/>
    <col min="3586" max="3586" width="29.85546875" style="81" hidden="1"/>
    <col min="3587" max="3588" width="9.140625" style="81" hidden="1"/>
    <col min="3589" max="3589" width="15.42578125" style="81" hidden="1"/>
    <col min="3590" max="3838" width="9.140625" style="81" hidden="1"/>
    <col min="3839" max="3839" width="18.7109375" style="81" hidden="1"/>
    <col min="3840" max="3840" width="72" style="81" hidden="1"/>
    <col min="3841" max="3841" width="22.85546875" style="81" hidden="1"/>
    <col min="3842" max="3842" width="29.85546875" style="81" hidden="1"/>
    <col min="3843" max="3844" width="9.140625" style="81" hidden="1"/>
    <col min="3845" max="3845" width="15.42578125" style="81" hidden="1"/>
    <col min="3846" max="4094" width="9.140625" style="81" hidden="1"/>
    <col min="4095" max="4095" width="18.7109375" style="81" hidden="1"/>
    <col min="4096" max="4096" width="72" style="81" hidden="1"/>
    <col min="4097" max="4097" width="22.85546875" style="81" hidden="1"/>
    <col min="4098" max="4098" width="29.85546875" style="81" hidden="1"/>
    <col min="4099" max="4100" width="9.140625" style="81" hidden="1"/>
    <col min="4101" max="4101" width="15.42578125" style="81" hidden="1"/>
    <col min="4102" max="4350" width="9.140625" style="81" hidden="1"/>
    <col min="4351" max="4351" width="18.7109375" style="81" hidden="1"/>
    <col min="4352" max="4352" width="72" style="81" hidden="1"/>
    <col min="4353" max="4353" width="22.85546875" style="81" hidden="1"/>
    <col min="4354" max="4354" width="29.85546875" style="81" hidden="1"/>
    <col min="4355" max="4356" width="9.140625" style="81" hidden="1"/>
    <col min="4357" max="4357" width="15.42578125" style="81" hidden="1"/>
    <col min="4358" max="4606" width="9.140625" style="81" hidden="1"/>
    <col min="4607" max="4607" width="18.7109375" style="81" hidden="1"/>
    <col min="4608" max="4608" width="72" style="81" hidden="1"/>
    <col min="4609" max="4609" width="22.85546875" style="81" hidden="1"/>
    <col min="4610" max="4610" width="29.85546875" style="81" hidden="1"/>
    <col min="4611" max="4612" width="9.140625" style="81" hidden="1"/>
    <col min="4613" max="4613" width="15.42578125" style="81" hidden="1"/>
    <col min="4614" max="4862" width="9.140625" style="81" hidden="1"/>
    <col min="4863" max="4863" width="18.7109375" style="81" hidden="1"/>
    <col min="4864" max="4864" width="72" style="81" hidden="1"/>
    <col min="4865" max="4865" width="22.85546875" style="81" hidden="1"/>
    <col min="4866" max="4866" width="29.85546875" style="81" hidden="1"/>
    <col min="4867" max="4868" width="9.140625" style="81" hidden="1"/>
    <col min="4869" max="4869" width="15.42578125" style="81" hidden="1"/>
    <col min="4870" max="5118" width="9.140625" style="81" hidden="1"/>
    <col min="5119" max="5119" width="18.7109375" style="81" hidden="1"/>
    <col min="5120" max="5120" width="72" style="81" hidden="1"/>
    <col min="5121" max="5121" width="22.85546875" style="81" hidden="1"/>
    <col min="5122" max="5122" width="29.85546875" style="81" hidden="1"/>
    <col min="5123" max="5124" width="9.140625" style="81" hidden="1"/>
    <col min="5125" max="5125" width="15.42578125" style="81" hidden="1"/>
    <col min="5126" max="5374" width="9.140625" style="81" hidden="1"/>
    <col min="5375" max="5375" width="18.7109375" style="81" hidden="1"/>
    <col min="5376" max="5376" width="72" style="81" hidden="1"/>
    <col min="5377" max="5377" width="22.85546875" style="81" hidden="1"/>
    <col min="5378" max="5378" width="29.85546875" style="81" hidden="1"/>
    <col min="5379" max="5380" width="9.140625" style="81" hidden="1"/>
    <col min="5381" max="5381" width="15.42578125" style="81" hidden="1"/>
    <col min="5382" max="5630" width="9.140625" style="81" hidden="1"/>
    <col min="5631" max="5631" width="18.7109375" style="81" hidden="1"/>
    <col min="5632" max="5632" width="72" style="81" hidden="1"/>
    <col min="5633" max="5633" width="22.85546875" style="81" hidden="1"/>
    <col min="5634" max="5634" width="29.85546875" style="81" hidden="1"/>
    <col min="5635" max="5636" width="9.140625" style="81" hidden="1"/>
    <col min="5637" max="5637" width="15.42578125" style="81" hidden="1"/>
    <col min="5638" max="5886" width="9.140625" style="81" hidden="1"/>
    <col min="5887" max="5887" width="18.7109375" style="81" hidden="1"/>
    <col min="5888" max="5888" width="72" style="81" hidden="1"/>
    <col min="5889" max="5889" width="22.85546875" style="81" hidden="1"/>
    <col min="5890" max="5890" width="29.85546875" style="81" hidden="1"/>
    <col min="5891" max="5892" width="9.140625" style="81" hidden="1"/>
    <col min="5893" max="5893" width="15.42578125" style="81" hidden="1"/>
    <col min="5894" max="6142" width="9.140625" style="81" hidden="1"/>
    <col min="6143" max="6143" width="18.7109375" style="81" hidden="1"/>
    <col min="6144" max="6144" width="72" style="81" hidden="1"/>
    <col min="6145" max="6145" width="22.85546875" style="81" hidden="1"/>
    <col min="6146" max="6146" width="29.85546875" style="81" hidden="1"/>
    <col min="6147" max="6148" width="9.140625" style="81" hidden="1"/>
    <col min="6149" max="6149" width="15.42578125" style="81" hidden="1"/>
    <col min="6150" max="6398" width="9.140625" style="81" hidden="1"/>
    <col min="6399" max="6399" width="18.7109375" style="81" hidden="1"/>
    <col min="6400" max="6400" width="72" style="81" hidden="1"/>
    <col min="6401" max="6401" width="22.85546875" style="81" hidden="1"/>
    <col min="6402" max="6402" width="29.85546875" style="81" hidden="1"/>
    <col min="6403" max="6404" width="9.140625" style="81" hidden="1"/>
    <col min="6405" max="6405" width="15.42578125" style="81" hidden="1"/>
    <col min="6406" max="6654" width="9.140625" style="81" hidden="1"/>
    <col min="6655" max="6655" width="18.7109375" style="81" hidden="1"/>
    <col min="6656" max="6656" width="72" style="81" hidden="1"/>
    <col min="6657" max="6657" width="22.85546875" style="81" hidden="1"/>
    <col min="6658" max="6658" width="29.85546875" style="81" hidden="1"/>
    <col min="6659" max="6660" width="9.140625" style="81" hidden="1"/>
    <col min="6661" max="6661" width="15.42578125" style="81" hidden="1"/>
    <col min="6662" max="6910" width="9.140625" style="81" hidden="1"/>
    <col min="6911" max="6911" width="18.7109375" style="81" hidden="1"/>
    <col min="6912" max="6912" width="72" style="81" hidden="1"/>
    <col min="6913" max="6913" width="22.85546875" style="81" hidden="1"/>
    <col min="6914" max="6914" width="29.85546875" style="81" hidden="1"/>
    <col min="6915" max="6916" width="9.140625" style="81" hidden="1"/>
    <col min="6917" max="6917" width="15.42578125" style="81" hidden="1"/>
    <col min="6918" max="7166" width="9.140625" style="81" hidden="1"/>
    <col min="7167" max="7167" width="18.7109375" style="81" hidden="1"/>
    <col min="7168" max="7168" width="72" style="81" hidden="1"/>
    <col min="7169" max="7169" width="22.85546875" style="81" hidden="1"/>
    <col min="7170" max="7170" width="29.85546875" style="81" hidden="1"/>
    <col min="7171" max="7172" width="9.140625" style="81" hidden="1"/>
    <col min="7173" max="7173" width="15.42578125" style="81" hidden="1"/>
    <col min="7174" max="7422" width="9.140625" style="81" hidden="1"/>
    <col min="7423" max="7423" width="18.7109375" style="81" hidden="1"/>
    <col min="7424" max="7424" width="72" style="81" hidden="1"/>
    <col min="7425" max="7425" width="22.85546875" style="81" hidden="1"/>
    <col min="7426" max="7426" width="29.85546875" style="81" hidden="1"/>
    <col min="7427" max="7428" width="9.140625" style="81" hidden="1"/>
    <col min="7429" max="7429" width="15.42578125" style="81" hidden="1"/>
    <col min="7430" max="7678" width="9.140625" style="81" hidden="1"/>
    <col min="7679" max="7679" width="18.7109375" style="81" hidden="1"/>
    <col min="7680" max="7680" width="72" style="81" hidden="1"/>
    <col min="7681" max="7681" width="22.85546875" style="81" hidden="1"/>
    <col min="7682" max="7682" width="29.85546875" style="81" hidden="1"/>
    <col min="7683" max="7684" width="9.140625" style="81" hidden="1"/>
    <col min="7685" max="7685" width="15.42578125" style="81" hidden="1"/>
    <col min="7686" max="7934" width="9.140625" style="81" hidden="1"/>
    <col min="7935" max="7935" width="18.7109375" style="81" hidden="1"/>
    <col min="7936" max="7936" width="72" style="81" hidden="1"/>
    <col min="7937" max="7937" width="22.85546875" style="81" hidden="1"/>
    <col min="7938" max="7938" width="29.85546875" style="81" hidden="1"/>
    <col min="7939" max="7940" width="9.140625" style="81" hidden="1"/>
    <col min="7941" max="7941" width="15.42578125" style="81" hidden="1"/>
    <col min="7942" max="8190" width="9.140625" style="81" hidden="1"/>
    <col min="8191" max="8191" width="18.7109375" style="81" hidden="1"/>
    <col min="8192" max="8192" width="72" style="81" hidden="1"/>
    <col min="8193" max="8193" width="22.85546875" style="81" hidden="1"/>
    <col min="8194" max="8194" width="29.85546875" style="81" hidden="1"/>
    <col min="8195" max="8196" width="9.140625" style="81" hidden="1"/>
    <col min="8197" max="8197" width="15.42578125" style="81" hidden="1"/>
    <col min="8198" max="8446" width="9.140625" style="81" hidden="1"/>
    <col min="8447" max="8447" width="18.7109375" style="81" hidden="1"/>
    <col min="8448" max="8448" width="72" style="81" hidden="1"/>
    <col min="8449" max="8449" width="22.85546875" style="81" hidden="1"/>
    <col min="8450" max="8450" width="29.85546875" style="81" hidden="1"/>
    <col min="8451" max="8452" width="9.140625" style="81" hidden="1"/>
    <col min="8453" max="8453" width="15.42578125" style="81" hidden="1"/>
    <col min="8454" max="8702" width="9.140625" style="81" hidden="1"/>
    <col min="8703" max="8703" width="18.7109375" style="81" hidden="1"/>
    <col min="8704" max="8704" width="72" style="81" hidden="1"/>
    <col min="8705" max="8705" width="22.85546875" style="81" hidden="1"/>
    <col min="8706" max="8706" width="29.85546875" style="81" hidden="1"/>
    <col min="8707" max="8708" width="9.140625" style="81" hidden="1"/>
    <col min="8709" max="8709" width="15.42578125" style="81" hidden="1"/>
    <col min="8710" max="8958" width="9.140625" style="81" hidden="1"/>
    <col min="8959" max="8959" width="18.7109375" style="81" hidden="1"/>
    <col min="8960" max="8960" width="72" style="81" hidden="1"/>
    <col min="8961" max="8961" width="22.85546875" style="81" hidden="1"/>
    <col min="8962" max="8962" width="29.85546875" style="81" hidden="1"/>
    <col min="8963" max="8964" width="9.140625" style="81" hidden="1"/>
    <col min="8965" max="8965" width="15.42578125" style="81" hidden="1"/>
    <col min="8966" max="9214" width="9.140625" style="81" hidden="1"/>
    <col min="9215" max="9215" width="18.7109375" style="81" hidden="1"/>
    <col min="9216" max="9216" width="72" style="81" hidden="1"/>
    <col min="9217" max="9217" width="22.85546875" style="81" hidden="1"/>
    <col min="9218" max="9218" width="29.85546875" style="81" hidden="1"/>
    <col min="9219" max="9220" width="9.140625" style="81" hidden="1"/>
    <col min="9221" max="9221" width="15.42578125" style="81" hidden="1"/>
    <col min="9222" max="9470" width="9.140625" style="81" hidden="1"/>
    <col min="9471" max="9471" width="18.7109375" style="81" hidden="1"/>
    <col min="9472" max="9472" width="72" style="81" hidden="1"/>
    <col min="9473" max="9473" width="22.85546875" style="81" hidden="1"/>
    <col min="9474" max="9474" width="29.85546875" style="81" hidden="1"/>
    <col min="9475" max="9476" width="9.140625" style="81" hidden="1"/>
    <col min="9477" max="9477" width="15.42578125" style="81" hidden="1"/>
    <col min="9478" max="9726" width="9.140625" style="81" hidden="1"/>
    <col min="9727" max="9727" width="18.7109375" style="81" hidden="1"/>
    <col min="9728" max="9728" width="72" style="81" hidden="1"/>
    <col min="9729" max="9729" width="22.85546875" style="81" hidden="1"/>
    <col min="9730" max="9730" width="29.85546875" style="81" hidden="1"/>
    <col min="9731" max="9732" width="9.140625" style="81" hidden="1"/>
    <col min="9733" max="9733" width="15.42578125" style="81" hidden="1"/>
    <col min="9734" max="9982" width="9.140625" style="81" hidden="1"/>
    <col min="9983" max="9983" width="18.7109375" style="81" hidden="1"/>
    <col min="9984" max="9984" width="72" style="81" hidden="1"/>
    <col min="9985" max="9985" width="22.85546875" style="81" hidden="1"/>
    <col min="9986" max="9986" width="29.85546875" style="81" hidden="1"/>
    <col min="9987" max="9988" width="9.140625" style="81" hidden="1"/>
    <col min="9989" max="9989" width="15.42578125" style="81" hidden="1"/>
    <col min="9990" max="10238" width="9.140625" style="81" hidden="1"/>
    <col min="10239" max="10239" width="18.7109375" style="81" hidden="1"/>
    <col min="10240" max="10240" width="72" style="81" hidden="1"/>
    <col min="10241" max="10241" width="22.85546875" style="81" hidden="1"/>
    <col min="10242" max="10242" width="29.85546875" style="81" hidden="1"/>
    <col min="10243" max="10244" width="9.140625" style="81" hidden="1"/>
    <col min="10245" max="10245" width="15.42578125" style="81" hidden="1"/>
    <col min="10246" max="10494" width="9.140625" style="81" hidden="1"/>
    <col min="10495" max="10495" width="18.7109375" style="81" hidden="1"/>
    <col min="10496" max="10496" width="72" style="81" hidden="1"/>
    <col min="10497" max="10497" width="22.85546875" style="81" hidden="1"/>
    <col min="10498" max="10498" width="29.85546875" style="81" hidden="1"/>
    <col min="10499" max="10500" width="9.140625" style="81" hidden="1"/>
    <col min="10501" max="10501" width="15.42578125" style="81" hidden="1"/>
    <col min="10502" max="10750" width="9.140625" style="81" hidden="1"/>
    <col min="10751" max="10751" width="18.7109375" style="81" hidden="1"/>
    <col min="10752" max="10752" width="72" style="81" hidden="1"/>
    <col min="10753" max="10753" width="22.85546875" style="81" hidden="1"/>
    <col min="10754" max="10754" width="29.85546875" style="81" hidden="1"/>
    <col min="10755" max="10756" width="9.140625" style="81" hidden="1"/>
    <col min="10757" max="10757" width="15.42578125" style="81" hidden="1"/>
    <col min="10758" max="11006" width="9.140625" style="81" hidden="1"/>
    <col min="11007" max="11007" width="18.7109375" style="81" hidden="1"/>
    <col min="11008" max="11008" width="72" style="81" hidden="1"/>
    <col min="11009" max="11009" width="22.85546875" style="81" hidden="1"/>
    <col min="11010" max="11010" width="29.85546875" style="81" hidden="1"/>
    <col min="11011" max="11012" width="9.140625" style="81" hidden="1"/>
    <col min="11013" max="11013" width="15.42578125" style="81" hidden="1"/>
    <col min="11014" max="11262" width="9.140625" style="81" hidden="1"/>
    <col min="11263" max="11263" width="18.7109375" style="81" hidden="1"/>
    <col min="11264" max="11264" width="72" style="81" hidden="1"/>
    <col min="11265" max="11265" width="22.85546875" style="81" hidden="1"/>
    <col min="11266" max="11266" width="29.85546875" style="81" hidden="1"/>
    <col min="11267" max="11268" width="9.140625" style="81" hidden="1"/>
    <col min="11269" max="11269" width="15.42578125" style="81" hidden="1"/>
    <col min="11270" max="11518" width="9.140625" style="81" hidden="1"/>
    <col min="11519" max="11519" width="18.7109375" style="81" hidden="1"/>
    <col min="11520" max="11520" width="72" style="81" hidden="1"/>
    <col min="11521" max="11521" width="22.85546875" style="81" hidden="1"/>
    <col min="11522" max="11522" width="29.85546875" style="81" hidden="1"/>
    <col min="11523" max="11524" width="9.140625" style="81" hidden="1"/>
    <col min="11525" max="11525" width="15.42578125" style="81" hidden="1"/>
    <col min="11526" max="11774" width="9.140625" style="81" hidden="1"/>
    <col min="11775" max="11775" width="18.7109375" style="81" hidden="1"/>
    <col min="11776" max="11776" width="72" style="81" hidden="1"/>
    <col min="11777" max="11777" width="22.85546875" style="81" hidden="1"/>
    <col min="11778" max="11778" width="29.85546875" style="81" hidden="1"/>
    <col min="11779" max="11780" width="9.140625" style="81" hidden="1"/>
    <col min="11781" max="11781" width="15.42578125" style="81" hidden="1"/>
    <col min="11782" max="12030" width="9.140625" style="81" hidden="1"/>
    <col min="12031" max="12031" width="18.7109375" style="81" hidden="1"/>
    <col min="12032" max="12032" width="72" style="81" hidden="1"/>
    <col min="12033" max="12033" width="22.85546875" style="81" hidden="1"/>
    <col min="12034" max="12034" width="29.85546875" style="81" hidden="1"/>
    <col min="12035" max="12036" width="9.140625" style="81" hidden="1"/>
    <col min="12037" max="12037" width="15.42578125" style="81" hidden="1"/>
    <col min="12038" max="12286" width="9.140625" style="81" hidden="1"/>
    <col min="12287" max="12287" width="18.7109375" style="81" hidden="1"/>
    <col min="12288" max="12288" width="72" style="81" hidden="1"/>
    <col min="12289" max="12289" width="22.85546875" style="81" hidden="1"/>
    <col min="12290" max="12290" width="29.85546875" style="81" hidden="1"/>
    <col min="12291" max="12292" width="9.140625" style="81" hidden="1"/>
    <col min="12293" max="12293" width="15.42578125" style="81" hidden="1"/>
    <col min="12294" max="12542" width="9.140625" style="81" hidden="1"/>
    <col min="12543" max="12543" width="18.7109375" style="81" hidden="1"/>
    <col min="12544" max="12544" width="72" style="81" hidden="1"/>
    <col min="12545" max="12545" width="22.85546875" style="81" hidden="1"/>
    <col min="12546" max="12546" width="29.85546875" style="81" hidden="1"/>
    <col min="12547" max="12548" width="9.140625" style="81" hidden="1"/>
    <col min="12549" max="12549" width="15.42578125" style="81" hidden="1"/>
    <col min="12550" max="12798" width="9.140625" style="81" hidden="1"/>
    <col min="12799" max="12799" width="18.7109375" style="81" hidden="1"/>
    <col min="12800" max="12800" width="72" style="81" hidden="1"/>
    <col min="12801" max="12801" width="22.85546875" style="81" hidden="1"/>
    <col min="12802" max="12802" width="29.85546875" style="81" hidden="1"/>
    <col min="12803" max="12804" width="9.140625" style="81" hidden="1"/>
    <col min="12805" max="12805" width="15.42578125" style="81" hidden="1"/>
    <col min="12806" max="13054" width="9.140625" style="81" hidden="1"/>
    <col min="13055" max="13055" width="18.7109375" style="81" hidden="1"/>
    <col min="13056" max="13056" width="72" style="81" hidden="1"/>
    <col min="13057" max="13057" width="22.85546875" style="81" hidden="1"/>
    <col min="13058" max="13058" width="29.85546875" style="81" hidden="1"/>
    <col min="13059" max="13060" width="9.140625" style="81" hidden="1"/>
    <col min="13061" max="13061" width="15.42578125" style="81" hidden="1"/>
    <col min="13062" max="13310" width="9.140625" style="81" hidden="1"/>
    <col min="13311" max="13311" width="18.7109375" style="81" hidden="1"/>
    <col min="13312" max="13312" width="72" style="81" hidden="1"/>
    <col min="13313" max="13313" width="22.85546875" style="81" hidden="1"/>
    <col min="13314" max="13314" width="29.85546875" style="81" hidden="1"/>
    <col min="13315" max="13316" width="9.140625" style="81" hidden="1"/>
    <col min="13317" max="13317" width="15.42578125" style="81" hidden="1"/>
    <col min="13318" max="13566" width="9.140625" style="81" hidden="1"/>
    <col min="13567" max="13567" width="18.7109375" style="81" hidden="1"/>
    <col min="13568" max="13568" width="72" style="81" hidden="1"/>
    <col min="13569" max="13569" width="22.85546875" style="81" hidden="1"/>
    <col min="13570" max="13570" width="29.85546875" style="81" hidden="1"/>
    <col min="13571" max="13572" width="9.140625" style="81" hidden="1"/>
    <col min="13573" max="13573" width="15.42578125" style="81" hidden="1"/>
    <col min="13574" max="13822" width="9.140625" style="81" hidden="1"/>
    <col min="13823" max="13823" width="18.7109375" style="81" hidden="1"/>
    <col min="13824" max="13824" width="72" style="81" hidden="1"/>
    <col min="13825" max="13825" width="22.85546875" style="81" hidden="1"/>
    <col min="13826" max="13826" width="29.85546875" style="81" hidden="1"/>
    <col min="13827" max="13828" width="9.140625" style="81" hidden="1"/>
    <col min="13829" max="13829" width="15.42578125" style="81" hidden="1"/>
    <col min="13830" max="14078" width="9.140625" style="81" hidden="1"/>
    <col min="14079" max="14079" width="18.7109375" style="81" hidden="1"/>
    <col min="14080" max="14080" width="72" style="81" hidden="1"/>
    <col min="14081" max="14081" width="22.85546875" style="81" hidden="1"/>
    <col min="14082" max="14082" width="29.85546875" style="81" hidden="1"/>
    <col min="14083" max="14084" width="9.140625" style="81" hidden="1"/>
    <col min="14085" max="14085" width="15.42578125" style="81" hidden="1"/>
    <col min="14086" max="14334" width="9.140625" style="81" hidden="1"/>
    <col min="14335" max="14335" width="18.7109375" style="81" hidden="1"/>
    <col min="14336" max="14336" width="72" style="81" hidden="1"/>
    <col min="14337" max="14337" width="22.85546875" style="81" hidden="1"/>
    <col min="14338" max="14338" width="29.85546875" style="81" hidden="1"/>
    <col min="14339" max="14340" width="9.140625" style="81" hidden="1"/>
    <col min="14341" max="14341" width="15.42578125" style="81" hidden="1"/>
    <col min="14342" max="14590" width="9.140625" style="81" hidden="1"/>
    <col min="14591" max="14591" width="18.7109375" style="81" hidden="1"/>
    <col min="14592" max="14592" width="72" style="81" hidden="1"/>
    <col min="14593" max="14593" width="22.85546875" style="81" hidden="1"/>
    <col min="14594" max="14594" width="29.85546875" style="81" hidden="1"/>
    <col min="14595" max="14596" width="9.140625" style="81" hidden="1"/>
    <col min="14597" max="14597" width="15.42578125" style="81" hidden="1"/>
    <col min="14598" max="14846" width="9.140625" style="81" hidden="1"/>
    <col min="14847" max="14847" width="18.7109375" style="81" hidden="1"/>
    <col min="14848" max="14848" width="72" style="81" hidden="1"/>
    <col min="14849" max="14849" width="22.85546875" style="81" hidden="1"/>
    <col min="14850" max="14850" width="29.85546875" style="81" hidden="1"/>
    <col min="14851" max="14852" width="9.140625" style="81" hidden="1"/>
    <col min="14853" max="14853" width="15.42578125" style="81" hidden="1"/>
    <col min="14854" max="15102" width="9.140625" style="81" hidden="1"/>
    <col min="15103" max="15103" width="18.7109375" style="81" hidden="1"/>
    <col min="15104" max="15104" width="72" style="81" hidden="1"/>
    <col min="15105" max="15105" width="22.85546875" style="81" hidden="1"/>
    <col min="15106" max="15106" width="29.85546875" style="81" hidden="1"/>
    <col min="15107" max="15108" width="9.140625" style="81" hidden="1"/>
    <col min="15109" max="15109" width="15.42578125" style="81" hidden="1"/>
    <col min="15110" max="15358" width="9.140625" style="81" hidden="1"/>
    <col min="15359" max="15359" width="18.7109375" style="81" hidden="1"/>
    <col min="15360" max="15360" width="72" style="81" hidden="1"/>
    <col min="15361" max="15361" width="22.85546875" style="81" hidden="1"/>
    <col min="15362" max="15362" width="29.85546875" style="81" hidden="1"/>
    <col min="15363" max="15364" width="9.140625" style="81" hidden="1"/>
    <col min="15365" max="15365" width="15.42578125" style="81" hidden="1"/>
    <col min="15366" max="15614" width="9.140625" style="81" hidden="1"/>
    <col min="15615" max="15615" width="18.7109375" style="81" hidden="1"/>
    <col min="15616" max="15616" width="72" style="81" hidden="1"/>
    <col min="15617" max="15617" width="22.85546875" style="81" hidden="1"/>
    <col min="15618" max="15618" width="29.85546875" style="81" hidden="1"/>
    <col min="15619" max="15620" width="9.140625" style="81" hidden="1"/>
    <col min="15621" max="15621" width="15.42578125" style="81" hidden="1"/>
    <col min="15622" max="15870" width="9.140625" style="81" hidden="1"/>
    <col min="15871" max="15871" width="18.7109375" style="81" hidden="1"/>
    <col min="15872" max="15872" width="72" style="81" hidden="1"/>
    <col min="15873" max="15873" width="22.85546875" style="81" hidden="1"/>
    <col min="15874" max="15874" width="29.85546875" style="81" hidden="1"/>
    <col min="15875" max="15876" width="9.140625" style="81" hidden="1"/>
    <col min="15877" max="15877" width="15.42578125" style="81" hidden="1"/>
    <col min="15878" max="16126" width="9.140625" style="81" hidden="1"/>
    <col min="16127" max="16127" width="18.7109375" style="81" hidden="1"/>
    <col min="16128" max="16128" width="72" style="81" hidden="1"/>
    <col min="16129" max="16129" width="22.85546875" style="81" hidden="1"/>
    <col min="16130" max="16130" width="29.85546875" style="81" hidden="1"/>
    <col min="16131" max="16132" width="9.140625" style="81" hidden="1"/>
    <col min="16133" max="16135" width="15.42578125" style="81" hidden="1"/>
    <col min="16136" max="16384" width="9.140625" style="81" hidden="1"/>
  </cols>
  <sheetData>
    <row r="1" spans="1:7" x14ac:dyDescent="0.3">
      <c r="A1" s="251" t="s">
        <v>9</v>
      </c>
      <c r="B1" s="251"/>
      <c r="C1" s="251"/>
      <c r="D1" s="251"/>
      <c r="E1" s="20"/>
      <c r="F1" s="20"/>
      <c r="G1" s="20"/>
    </row>
    <row r="2" spans="1:7" x14ac:dyDescent="0.3">
      <c r="A2" s="252" t="s">
        <v>15</v>
      </c>
      <c r="B2" s="252"/>
      <c r="C2" s="253" t="s">
        <v>221</v>
      </c>
      <c r="D2" s="254"/>
      <c r="E2" s="20"/>
      <c r="F2" s="20"/>
      <c r="G2" s="20"/>
    </row>
    <row r="3" spans="1:7" x14ac:dyDescent="0.3">
      <c r="A3" s="252" t="s">
        <v>16</v>
      </c>
      <c r="B3" s="252"/>
      <c r="C3" s="253" t="s">
        <v>198</v>
      </c>
      <c r="D3" s="254"/>
      <c r="E3" s="20"/>
      <c r="F3" s="20"/>
      <c r="G3" s="20"/>
    </row>
    <row r="4" spans="1:7" x14ac:dyDescent="0.3">
      <c r="A4" s="250"/>
      <c r="B4" s="250"/>
      <c r="C4" s="250"/>
      <c r="D4" s="250"/>
      <c r="E4" s="20"/>
      <c r="F4" s="20"/>
      <c r="G4" s="20"/>
    </row>
    <row r="5" spans="1:7" x14ac:dyDescent="0.3">
      <c r="A5" s="250" t="s">
        <v>17</v>
      </c>
      <c r="B5" s="250"/>
      <c r="C5" s="250"/>
      <c r="D5" s="250"/>
      <c r="E5" s="20"/>
      <c r="F5" s="20"/>
      <c r="G5" s="20"/>
    </row>
    <row r="6" spans="1:7" x14ac:dyDescent="0.3">
      <c r="A6" s="156" t="s">
        <v>18</v>
      </c>
      <c r="B6" s="158" t="s">
        <v>8</v>
      </c>
      <c r="C6" s="257" t="s">
        <v>96</v>
      </c>
      <c r="D6" s="258"/>
      <c r="E6" s="20"/>
      <c r="F6" s="20"/>
      <c r="G6" s="20"/>
    </row>
    <row r="7" spans="1:7" x14ac:dyDescent="0.3">
      <c r="A7" s="156" t="s">
        <v>19</v>
      </c>
      <c r="B7" s="158" t="s">
        <v>7</v>
      </c>
      <c r="C7" s="259" t="s">
        <v>264</v>
      </c>
      <c r="D7" s="259"/>
      <c r="E7" s="20"/>
      <c r="F7" s="20"/>
      <c r="G7" s="20"/>
    </row>
    <row r="8" spans="1:7" x14ac:dyDescent="0.3">
      <c r="A8" s="22" t="s">
        <v>20</v>
      </c>
      <c r="B8" s="23" t="s">
        <v>21</v>
      </c>
      <c r="C8" s="260" t="s">
        <v>222</v>
      </c>
      <c r="D8" s="261"/>
      <c r="E8" s="20"/>
      <c r="F8" s="20"/>
      <c r="G8" s="20"/>
    </row>
    <row r="9" spans="1:7" x14ac:dyDescent="0.3">
      <c r="A9" s="156" t="s">
        <v>22</v>
      </c>
      <c r="B9" s="158" t="s">
        <v>23</v>
      </c>
      <c r="C9" s="255" t="s">
        <v>24</v>
      </c>
      <c r="D9" s="256"/>
      <c r="E9" s="20"/>
      <c r="F9" s="20"/>
      <c r="G9" s="20"/>
    </row>
    <row r="10" spans="1:7" x14ac:dyDescent="0.3">
      <c r="A10" s="156" t="s">
        <v>25</v>
      </c>
      <c r="B10" s="158" t="s">
        <v>26</v>
      </c>
      <c r="C10" s="255" t="s">
        <v>199</v>
      </c>
      <c r="D10" s="256"/>
      <c r="E10" s="20"/>
      <c r="F10" s="20"/>
      <c r="G10" s="20"/>
    </row>
    <row r="11" spans="1:7" x14ac:dyDescent="0.3">
      <c r="A11" s="156" t="s">
        <v>27</v>
      </c>
      <c r="B11" s="158" t="s">
        <v>28</v>
      </c>
      <c r="C11" s="262">
        <v>1</v>
      </c>
      <c r="D11" s="263"/>
      <c r="E11" s="20"/>
      <c r="F11" s="20"/>
      <c r="G11" s="20"/>
    </row>
    <row r="12" spans="1:7" x14ac:dyDescent="0.3">
      <c r="A12" s="156" t="s">
        <v>29</v>
      </c>
      <c r="B12" s="158" t="s">
        <v>30</v>
      </c>
      <c r="C12" s="264">
        <f>Proposta!H5</f>
        <v>24</v>
      </c>
      <c r="D12" s="265"/>
      <c r="E12" s="20"/>
      <c r="F12" s="20"/>
      <c r="G12" s="20"/>
    </row>
    <row r="13" spans="1:7" x14ac:dyDescent="0.3">
      <c r="A13" s="266"/>
      <c r="B13" s="267"/>
      <c r="C13" s="267"/>
      <c r="D13" s="267"/>
      <c r="E13" s="20"/>
      <c r="F13" s="20"/>
      <c r="G13" s="20"/>
    </row>
    <row r="14" spans="1:7" x14ac:dyDescent="0.3">
      <c r="A14" s="268" t="s">
        <v>31</v>
      </c>
      <c r="B14" s="269"/>
      <c r="C14" s="269"/>
      <c r="D14" s="270"/>
      <c r="E14" s="20"/>
      <c r="F14" s="20"/>
      <c r="G14" s="20"/>
    </row>
    <row r="15" spans="1:7" x14ac:dyDescent="0.3">
      <c r="A15" s="259" t="s">
        <v>32</v>
      </c>
      <c r="B15" s="259"/>
      <c r="C15" s="259"/>
      <c r="D15" s="259"/>
      <c r="E15" s="20"/>
      <c r="F15" s="20"/>
      <c r="G15" s="20"/>
    </row>
    <row r="16" spans="1:7" x14ac:dyDescent="0.3">
      <c r="A16" s="156">
        <v>1</v>
      </c>
      <c r="B16" s="158" t="s">
        <v>33</v>
      </c>
      <c r="C16" s="255" t="s">
        <v>1</v>
      </c>
      <c r="D16" s="256" t="s">
        <v>1</v>
      </c>
      <c r="E16" s="20"/>
      <c r="F16" s="20"/>
      <c r="G16" s="20"/>
    </row>
    <row r="17" spans="1:7" x14ac:dyDescent="0.3">
      <c r="A17" s="156"/>
      <c r="B17" s="147" t="s">
        <v>253</v>
      </c>
      <c r="C17" s="272">
        <v>2</v>
      </c>
      <c r="D17" s="265">
        <v>1</v>
      </c>
      <c r="E17" s="20"/>
      <c r="F17" s="20"/>
      <c r="G17" s="20"/>
    </row>
    <row r="18" spans="1:7" x14ac:dyDescent="0.3">
      <c r="A18" s="156">
        <v>2</v>
      </c>
      <c r="B18" s="24" t="s">
        <v>34</v>
      </c>
      <c r="C18" s="273" t="s">
        <v>200</v>
      </c>
      <c r="D18" s="274"/>
      <c r="E18" s="20"/>
      <c r="F18" s="20"/>
      <c r="G18" s="20"/>
    </row>
    <row r="19" spans="1:7" x14ac:dyDescent="0.3">
      <c r="A19" s="259" t="s">
        <v>35</v>
      </c>
      <c r="B19" s="259"/>
      <c r="C19" s="259"/>
      <c r="D19" s="259"/>
      <c r="E19" s="20"/>
      <c r="F19" s="20"/>
      <c r="G19" s="20"/>
    </row>
    <row r="20" spans="1:7" x14ac:dyDescent="0.3">
      <c r="A20" s="156">
        <v>3</v>
      </c>
      <c r="B20" s="275" t="s">
        <v>6</v>
      </c>
      <c r="C20" s="276"/>
      <c r="D20" s="173">
        <v>1664.83</v>
      </c>
      <c r="E20" s="20"/>
      <c r="F20" s="20"/>
      <c r="G20" s="20"/>
    </row>
    <row r="21" spans="1:7" x14ac:dyDescent="0.3">
      <c r="A21" s="156">
        <v>4</v>
      </c>
      <c r="B21" s="275" t="s">
        <v>36</v>
      </c>
      <c r="C21" s="276"/>
      <c r="D21" s="174" t="s">
        <v>201</v>
      </c>
      <c r="E21" s="20"/>
      <c r="F21" s="20"/>
      <c r="G21" s="20"/>
    </row>
    <row r="22" spans="1:7" x14ac:dyDescent="0.3">
      <c r="A22" s="156">
        <v>5</v>
      </c>
      <c r="B22" s="275" t="s">
        <v>5</v>
      </c>
      <c r="C22" s="276"/>
      <c r="D22" s="175">
        <v>44228</v>
      </c>
      <c r="E22" s="20"/>
      <c r="F22" s="20"/>
      <c r="G22" s="20"/>
    </row>
    <row r="23" spans="1:7" x14ac:dyDescent="0.3">
      <c r="A23" s="255"/>
      <c r="B23" s="277"/>
      <c r="C23" s="277"/>
      <c r="D23" s="256"/>
      <c r="E23" s="20"/>
      <c r="F23" s="20"/>
      <c r="G23" s="20"/>
    </row>
    <row r="24" spans="1:7" x14ac:dyDescent="0.3">
      <c r="A24" s="278" t="s">
        <v>37</v>
      </c>
      <c r="B24" s="278"/>
      <c r="C24" s="278"/>
      <c r="D24" s="278"/>
      <c r="E24" s="20"/>
      <c r="F24" s="20"/>
      <c r="G24" s="20"/>
    </row>
    <row r="25" spans="1:7" hidden="1" outlineLevel="1" x14ac:dyDescent="0.3">
      <c r="A25" s="272"/>
      <c r="B25" s="279"/>
      <c r="C25" s="279"/>
      <c r="D25" s="265"/>
      <c r="E25" s="20"/>
      <c r="F25" s="20"/>
      <c r="G25" s="20"/>
    </row>
    <row r="26" spans="1:7" hidden="1" outlineLevel="1" x14ac:dyDescent="0.3">
      <c r="A26" s="157">
        <v>1</v>
      </c>
      <c r="B26" s="280" t="s">
        <v>38</v>
      </c>
      <c r="C26" s="281"/>
      <c r="D26" s="157" t="s">
        <v>39</v>
      </c>
      <c r="E26" s="20"/>
      <c r="F26" s="20"/>
      <c r="G26" s="20"/>
    </row>
    <row r="27" spans="1:7" hidden="1" outlineLevel="1" x14ac:dyDescent="0.3">
      <c r="A27" s="156" t="s">
        <v>40</v>
      </c>
      <c r="B27" s="158" t="s">
        <v>245</v>
      </c>
      <c r="C27" s="167">
        <v>220</v>
      </c>
      <c r="D27" s="25">
        <f>D20/220*C27</f>
        <v>1664.83</v>
      </c>
      <c r="E27" s="20"/>
      <c r="F27" s="20"/>
      <c r="G27" s="20"/>
    </row>
    <row r="28" spans="1:7" hidden="1" outlineLevel="1" x14ac:dyDescent="0.3">
      <c r="A28" s="156" t="s">
        <v>19</v>
      </c>
      <c r="B28" s="158" t="s">
        <v>223</v>
      </c>
      <c r="C28" s="26">
        <v>0.3</v>
      </c>
      <c r="D28" s="25">
        <f>C28*D27</f>
        <v>499.44899999999996</v>
      </c>
      <c r="E28" s="20"/>
      <c r="F28" s="20"/>
      <c r="G28" s="20"/>
    </row>
    <row r="29" spans="1:7" hidden="1" outlineLevel="1" x14ac:dyDescent="0.3">
      <c r="A29" s="156" t="s">
        <v>20</v>
      </c>
      <c r="B29" s="158" t="s">
        <v>41</v>
      </c>
      <c r="C29" s="26">
        <v>0</v>
      </c>
      <c r="D29" s="25">
        <f>C29*D27</f>
        <v>0</v>
      </c>
      <c r="E29" s="20"/>
      <c r="F29" s="20"/>
      <c r="G29" s="20"/>
    </row>
    <row r="30" spans="1:7" hidden="1" outlineLevel="1" x14ac:dyDescent="0.3">
      <c r="A30" s="156" t="s">
        <v>22</v>
      </c>
      <c r="B30" s="158" t="s">
        <v>225</v>
      </c>
      <c r="C30" s="27">
        <v>15</v>
      </c>
      <c r="D30" s="28">
        <f>(D20/C27*C30)*1.5</f>
        <v>170.26670454545453</v>
      </c>
      <c r="E30" s="20"/>
      <c r="F30" s="20"/>
      <c r="G30" s="20"/>
    </row>
    <row r="31" spans="1:7" hidden="1" outlineLevel="1" x14ac:dyDescent="0.3">
      <c r="A31" s="156" t="s">
        <v>25</v>
      </c>
      <c r="B31" s="158" t="s">
        <v>247</v>
      </c>
      <c r="C31" s="185">
        <f>((D20/220*20%))</f>
        <v>1.5134818181818182</v>
      </c>
      <c r="D31" s="28">
        <f>C31*7*C30</f>
        <v>158.91559090909089</v>
      </c>
      <c r="E31" s="186"/>
      <c r="F31" s="20"/>
      <c r="G31" s="20"/>
    </row>
    <row r="32" spans="1:7" hidden="1" outlineLevel="1" x14ac:dyDescent="0.3">
      <c r="A32" s="156" t="s">
        <v>27</v>
      </c>
      <c r="B32" s="158" t="s">
        <v>246</v>
      </c>
      <c r="C32" s="185">
        <f>(D20/220*(7.5/60))</f>
        <v>0.94592613636363632</v>
      </c>
      <c r="D32" s="28">
        <f>C32*7*C30</f>
        <v>99.322244318181816</v>
      </c>
      <c r="E32" s="187"/>
      <c r="F32" s="20"/>
      <c r="G32" s="20"/>
    </row>
    <row r="33" spans="1:7" hidden="1" outlineLevel="1" x14ac:dyDescent="0.3">
      <c r="A33" s="156" t="s">
        <v>29</v>
      </c>
      <c r="B33" s="85" t="s">
        <v>42</v>
      </c>
      <c r="C33" s="86">
        <v>0</v>
      </c>
      <c r="D33" s="87">
        <v>0</v>
      </c>
      <c r="E33" s="20"/>
      <c r="F33" s="20"/>
      <c r="G33" s="20"/>
    </row>
    <row r="34" spans="1:7" collapsed="1" x14ac:dyDescent="0.3">
      <c r="A34" s="280" t="s">
        <v>43</v>
      </c>
      <c r="B34" s="282"/>
      <c r="C34" s="281"/>
      <c r="D34" s="29">
        <f>SUM(D27:D33)</f>
        <v>2592.7835397727272</v>
      </c>
      <c r="E34" s="20"/>
      <c r="F34" s="20"/>
      <c r="G34" s="20"/>
    </row>
    <row r="35" spans="1:7" x14ac:dyDescent="0.3">
      <c r="A35" s="271"/>
      <c r="B35" s="271"/>
      <c r="C35" s="271"/>
      <c r="D35" s="271"/>
      <c r="E35" s="20"/>
      <c r="F35" s="20"/>
      <c r="G35" s="20"/>
    </row>
    <row r="36" spans="1:7" x14ac:dyDescent="0.3">
      <c r="A36" s="286" t="s">
        <v>44</v>
      </c>
      <c r="B36" s="287"/>
      <c r="C36" s="287"/>
      <c r="D36" s="288"/>
      <c r="E36" s="20"/>
      <c r="F36" s="20"/>
      <c r="G36" s="20"/>
    </row>
    <row r="37" spans="1:7" hidden="1" outlineLevel="1" x14ac:dyDescent="0.3">
      <c r="A37" s="289"/>
      <c r="B37" s="290"/>
      <c r="C37" s="290"/>
      <c r="D37" s="291"/>
      <c r="E37" s="20"/>
      <c r="F37" s="20"/>
      <c r="G37" s="20"/>
    </row>
    <row r="38" spans="1:7" hidden="1" outlineLevel="1" x14ac:dyDescent="0.3">
      <c r="A38" s="30" t="s">
        <v>45</v>
      </c>
      <c r="B38" s="31" t="s">
        <v>46</v>
      </c>
      <c r="C38" s="30" t="s">
        <v>47</v>
      </c>
      <c r="D38" s="30" t="s">
        <v>39</v>
      </c>
      <c r="E38" s="20"/>
      <c r="F38" s="20"/>
      <c r="G38" s="20"/>
    </row>
    <row r="39" spans="1:7" hidden="1" outlineLevel="2" x14ac:dyDescent="0.3">
      <c r="A39" s="32" t="s">
        <v>40</v>
      </c>
      <c r="B39" s="33" t="s">
        <v>48</v>
      </c>
      <c r="C39" s="34">
        <f>1/12</f>
        <v>8.3333333333333329E-2</v>
      </c>
      <c r="D39" s="25">
        <f>C39*D34</f>
        <v>216.06529498106059</v>
      </c>
      <c r="E39" s="20"/>
      <c r="F39" s="20"/>
      <c r="G39" s="20"/>
    </row>
    <row r="40" spans="1:7" hidden="1" outlineLevel="2" x14ac:dyDescent="0.3">
      <c r="A40" s="32" t="s">
        <v>19</v>
      </c>
      <c r="B40" s="33" t="s">
        <v>197</v>
      </c>
      <c r="C40" s="34">
        <f>IF(C12&gt;60,(1/C12/3)*5,IF(C12&gt;48,(1/C12/3)*4,IF(C12&gt;36,(1/C12/3)*3,IF(C12&gt;24,(1/C12/3)*2,IF(C12&gt;12,(1/C12/3)*1,0)))))</f>
        <v>1.3888888888888888E-2</v>
      </c>
      <c r="D40" s="25">
        <f>C40*D34</f>
        <v>36.010882496843429</v>
      </c>
      <c r="E40" s="20"/>
      <c r="F40" s="20"/>
      <c r="G40" s="20"/>
    </row>
    <row r="41" spans="1:7" hidden="1" outlineLevel="2" x14ac:dyDescent="0.3">
      <c r="A41" s="35" t="s">
        <v>120</v>
      </c>
      <c r="B41" s="33" t="s">
        <v>121</v>
      </c>
      <c r="C41" s="162">
        <v>0</v>
      </c>
      <c r="D41" s="122">
        <f>-D40*(1/3)*(C41)</f>
        <v>0</v>
      </c>
      <c r="E41" s="20"/>
      <c r="F41" s="20"/>
      <c r="G41" s="20"/>
    </row>
    <row r="42" spans="1:7" hidden="1" outlineLevel="1" collapsed="1" x14ac:dyDescent="0.3">
      <c r="A42" s="292" t="s">
        <v>14</v>
      </c>
      <c r="B42" s="293"/>
      <c r="C42" s="36">
        <f>SUM(C39:C40)</f>
        <v>9.722222222222221E-2</v>
      </c>
      <c r="D42" s="37">
        <f>SUM(D39:D41)</f>
        <v>252.07617747790403</v>
      </c>
      <c r="E42" s="20"/>
      <c r="F42" s="20"/>
      <c r="G42" s="20"/>
    </row>
    <row r="43" spans="1:7" hidden="1" outlineLevel="1" x14ac:dyDescent="0.3">
      <c r="A43" s="289"/>
      <c r="B43" s="290"/>
      <c r="C43" s="290"/>
      <c r="D43" s="291"/>
      <c r="E43" s="20"/>
      <c r="F43" s="20"/>
      <c r="G43" s="20"/>
    </row>
    <row r="44" spans="1:7" hidden="1" outlineLevel="1" x14ac:dyDescent="0.3">
      <c r="A44" s="30" t="s">
        <v>49</v>
      </c>
      <c r="B44" s="38" t="s">
        <v>50</v>
      </c>
      <c r="C44" s="30" t="s">
        <v>47</v>
      </c>
      <c r="D44" s="39" t="s">
        <v>39</v>
      </c>
      <c r="E44" s="20"/>
      <c r="F44" s="20"/>
      <c r="G44" s="20"/>
    </row>
    <row r="45" spans="1:7" hidden="1" outlineLevel="2" x14ac:dyDescent="0.3">
      <c r="A45" s="159" t="s">
        <v>40</v>
      </c>
      <c r="B45" s="40" t="s">
        <v>51</v>
      </c>
      <c r="C45" s="41">
        <v>0.2</v>
      </c>
      <c r="D45" s="25">
        <f>C45*($D$34+$D$42)</f>
        <v>568.97194345012622</v>
      </c>
      <c r="E45" s="20"/>
      <c r="F45" s="20"/>
      <c r="G45" s="20"/>
    </row>
    <row r="46" spans="1:7" hidden="1" outlineLevel="2" x14ac:dyDescent="0.3">
      <c r="A46" s="159" t="s">
        <v>19</v>
      </c>
      <c r="B46" s="40" t="s">
        <v>52</v>
      </c>
      <c r="C46" s="41">
        <v>2.5000000000000001E-2</v>
      </c>
      <c r="D46" s="25">
        <f t="shared" ref="D46:D52" si="0">C46*($D$34+$D$42)</f>
        <v>71.121492931265777</v>
      </c>
      <c r="E46" s="20"/>
      <c r="F46" s="20"/>
      <c r="G46" s="20"/>
    </row>
    <row r="47" spans="1:7" hidden="1" outlineLevel="2" x14ac:dyDescent="0.3">
      <c r="A47" s="159" t="s">
        <v>20</v>
      </c>
      <c r="B47" s="40" t="s">
        <v>114</v>
      </c>
      <c r="C47" s="161">
        <v>0.03</v>
      </c>
      <c r="D47" s="25">
        <f t="shared" si="0"/>
        <v>85.345791517518933</v>
      </c>
      <c r="E47" s="20"/>
      <c r="F47" s="20"/>
      <c r="G47" s="20"/>
    </row>
    <row r="48" spans="1:7" hidden="1" outlineLevel="2" x14ac:dyDescent="0.3">
      <c r="A48" s="159" t="s">
        <v>22</v>
      </c>
      <c r="B48" s="40" t="s">
        <v>232</v>
      </c>
      <c r="C48" s="41">
        <v>1.4999999999999999E-2</v>
      </c>
      <c r="D48" s="25">
        <f t="shared" si="0"/>
        <v>42.672895758759466</v>
      </c>
      <c r="E48" s="20"/>
      <c r="F48" s="20"/>
      <c r="G48" s="20"/>
    </row>
    <row r="49" spans="1:7" hidden="1" outlineLevel="2" x14ac:dyDescent="0.3">
      <c r="A49" s="159" t="s">
        <v>25</v>
      </c>
      <c r="B49" s="40" t="s">
        <v>233</v>
      </c>
      <c r="C49" s="41">
        <v>0.01</v>
      </c>
      <c r="D49" s="25">
        <f>C49*($D$34+$D$42)</f>
        <v>28.448597172506311</v>
      </c>
      <c r="E49" s="20"/>
      <c r="F49" s="20"/>
      <c r="G49" s="20"/>
    </row>
    <row r="50" spans="1:7" hidden="1" outlineLevel="2" x14ac:dyDescent="0.3">
      <c r="A50" s="159" t="s">
        <v>27</v>
      </c>
      <c r="B50" s="40" t="s">
        <v>53</v>
      </c>
      <c r="C50" s="41">
        <v>6.0000000000000001E-3</v>
      </c>
      <c r="D50" s="25">
        <f>C50*($D$34+$D$42)</f>
        <v>17.069158303503787</v>
      </c>
      <c r="E50" s="20"/>
      <c r="F50" s="20"/>
      <c r="G50" s="20"/>
    </row>
    <row r="51" spans="1:7" hidden="1" outlineLevel="2" x14ac:dyDescent="0.3">
      <c r="A51" s="159" t="s">
        <v>29</v>
      </c>
      <c r="B51" s="40" t="s">
        <v>54</v>
      </c>
      <c r="C51" s="41">
        <v>2E-3</v>
      </c>
      <c r="D51" s="25">
        <f t="shared" si="0"/>
        <v>5.6897194345012627</v>
      </c>
      <c r="E51" s="20"/>
      <c r="F51" s="20"/>
      <c r="G51" s="20"/>
    </row>
    <row r="52" spans="1:7" hidden="1" outlineLevel="2" x14ac:dyDescent="0.3">
      <c r="A52" s="159" t="s">
        <v>55</v>
      </c>
      <c r="B52" s="40" t="s">
        <v>56</v>
      </c>
      <c r="C52" s="41">
        <v>0.08</v>
      </c>
      <c r="D52" s="25">
        <f t="shared" si="0"/>
        <v>227.58877738005049</v>
      </c>
      <c r="E52" s="20"/>
      <c r="F52" s="20"/>
      <c r="G52" s="20"/>
    </row>
    <row r="53" spans="1:7" hidden="1" outlineLevel="1" collapsed="1" x14ac:dyDescent="0.3">
      <c r="A53" s="292" t="s">
        <v>14</v>
      </c>
      <c r="B53" s="293"/>
      <c r="C53" s="42">
        <f>SUM(C45:C52)</f>
        <v>0.36800000000000005</v>
      </c>
      <c r="D53" s="43">
        <f>SUM(D45:D52)</f>
        <v>1046.9083759482321</v>
      </c>
      <c r="E53" s="20"/>
      <c r="F53" s="20"/>
      <c r="G53" s="20"/>
    </row>
    <row r="54" spans="1:7" hidden="1" outlineLevel="1" x14ac:dyDescent="0.3">
      <c r="A54" s="289"/>
      <c r="B54" s="290"/>
      <c r="C54" s="290"/>
      <c r="D54" s="291"/>
      <c r="E54" s="20"/>
      <c r="F54" s="20"/>
      <c r="G54" s="20"/>
    </row>
    <row r="55" spans="1:7" hidden="1" outlineLevel="1" x14ac:dyDescent="0.3">
      <c r="A55" s="30" t="s">
        <v>57</v>
      </c>
      <c r="B55" s="38" t="s">
        <v>58</v>
      </c>
      <c r="C55" s="30" t="s">
        <v>59</v>
      </c>
      <c r="D55" s="30" t="s">
        <v>39</v>
      </c>
      <c r="E55" s="20"/>
      <c r="F55" s="20"/>
      <c r="G55" s="20"/>
    </row>
    <row r="56" spans="1:7" hidden="1" outlineLevel="2" x14ac:dyDescent="0.3">
      <c r="A56" s="159" t="s">
        <v>40</v>
      </c>
      <c r="B56" s="40" t="s">
        <v>60</v>
      </c>
      <c r="C56" s="44">
        <v>4.38</v>
      </c>
      <c r="D56" s="45">
        <f>IF((C30*2*C56)-(D27*6%)&lt;0,0,(C30*2*C56)-(D27*6%))</f>
        <v>31.510200000000012</v>
      </c>
      <c r="E56" s="82"/>
      <c r="F56" s="20"/>
      <c r="G56" s="20"/>
    </row>
    <row r="57" spans="1:7" hidden="1" outlineLevel="2" x14ac:dyDescent="0.3">
      <c r="A57" s="159" t="s">
        <v>19</v>
      </c>
      <c r="B57" s="40" t="s">
        <v>61</v>
      </c>
      <c r="C57" s="83">
        <v>27.6</v>
      </c>
      <c r="D57" s="45">
        <f>C57*C30</f>
        <v>414</v>
      </c>
      <c r="E57" s="20"/>
      <c r="F57" s="20"/>
      <c r="G57" s="20"/>
    </row>
    <row r="58" spans="1:7" hidden="1" outlineLevel="2" x14ac:dyDescent="0.3">
      <c r="A58" s="73" t="s">
        <v>97</v>
      </c>
      <c r="B58" s="40" t="s">
        <v>98</v>
      </c>
      <c r="C58" s="84">
        <v>-0.2</v>
      </c>
      <c r="D58" s="122">
        <f>D57*C58</f>
        <v>-82.800000000000011</v>
      </c>
      <c r="E58" s="20"/>
      <c r="F58" s="20"/>
      <c r="G58" s="20"/>
    </row>
    <row r="59" spans="1:7" hidden="1" outlineLevel="2" x14ac:dyDescent="0.3">
      <c r="A59" s="159" t="s">
        <v>20</v>
      </c>
      <c r="B59" s="176" t="s">
        <v>229</v>
      </c>
      <c r="C59" s="169">
        <v>6.0000000000000001E-3</v>
      </c>
      <c r="D59" s="177">
        <f>C59*D27</f>
        <v>9.9889799999999997</v>
      </c>
      <c r="E59" s="20"/>
      <c r="F59" s="20"/>
      <c r="G59" s="20"/>
    </row>
    <row r="60" spans="1:7" hidden="1" outlineLevel="2" x14ac:dyDescent="0.3">
      <c r="A60" s="159" t="s">
        <v>22</v>
      </c>
      <c r="B60" s="178" t="s">
        <v>228</v>
      </c>
      <c r="C60" s="168">
        <v>14</v>
      </c>
      <c r="D60" s="177">
        <f>C60</f>
        <v>14</v>
      </c>
      <c r="E60" s="20"/>
      <c r="F60" s="20"/>
      <c r="G60" s="20"/>
    </row>
    <row r="61" spans="1:7" hidden="1" outlineLevel="2" x14ac:dyDescent="0.3">
      <c r="A61" s="159" t="s">
        <v>25</v>
      </c>
      <c r="B61" s="176" t="s">
        <v>167</v>
      </c>
      <c r="C61" s="169">
        <v>7.0000000000000007E-2</v>
      </c>
      <c r="D61" s="177">
        <f>C61*D34</f>
        <v>181.49484778409092</v>
      </c>
      <c r="E61" s="20"/>
      <c r="F61" s="20"/>
      <c r="G61" s="20"/>
    </row>
    <row r="62" spans="1:7" hidden="1" outlineLevel="2" x14ac:dyDescent="0.3">
      <c r="A62" s="159" t="s">
        <v>27</v>
      </c>
      <c r="B62" s="176" t="s">
        <v>42</v>
      </c>
      <c r="C62" s="84"/>
      <c r="D62" s="177"/>
      <c r="E62" s="20"/>
      <c r="F62" s="20"/>
      <c r="G62" s="20"/>
    </row>
    <row r="63" spans="1:7" hidden="1" outlineLevel="2" x14ac:dyDescent="0.3">
      <c r="A63" s="159" t="s">
        <v>29</v>
      </c>
      <c r="B63" s="176" t="s">
        <v>42</v>
      </c>
      <c r="C63" s="83"/>
      <c r="D63" s="179">
        <f>C63</f>
        <v>0</v>
      </c>
      <c r="E63" s="20"/>
      <c r="F63" s="20"/>
      <c r="G63" s="20"/>
    </row>
    <row r="64" spans="1:7" hidden="1" outlineLevel="1" collapsed="1" x14ac:dyDescent="0.3">
      <c r="A64" s="292" t="s">
        <v>62</v>
      </c>
      <c r="B64" s="294"/>
      <c r="C64" s="293"/>
      <c r="D64" s="37">
        <f>SUM(D56:D63)</f>
        <v>568.19402778409096</v>
      </c>
      <c r="E64" s="20"/>
      <c r="F64" s="20"/>
      <c r="G64" s="20"/>
    </row>
    <row r="65" spans="1:7" hidden="1" outlineLevel="1" x14ac:dyDescent="0.3">
      <c r="A65" s="289"/>
      <c r="B65" s="290"/>
      <c r="C65" s="290"/>
      <c r="D65" s="291"/>
      <c r="E65" s="20"/>
      <c r="F65" s="20"/>
      <c r="G65" s="20"/>
    </row>
    <row r="66" spans="1:7" hidden="1" outlineLevel="1" x14ac:dyDescent="0.3">
      <c r="A66" s="295" t="s">
        <v>63</v>
      </c>
      <c r="B66" s="296"/>
      <c r="C66" s="30" t="s">
        <v>47</v>
      </c>
      <c r="D66" s="30" t="s">
        <v>39</v>
      </c>
      <c r="E66" s="20"/>
      <c r="F66" s="20"/>
      <c r="G66" s="20"/>
    </row>
    <row r="67" spans="1:7" hidden="1" outlineLevel="1" x14ac:dyDescent="0.3">
      <c r="A67" s="159" t="s">
        <v>64</v>
      </c>
      <c r="B67" s="40" t="s">
        <v>46</v>
      </c>
      <c r="C67" s="46">
        <f>C42</f>
        <v>9.722222222222221E-2</v>
      </c>
      <c r="D67" s="25">
        <f>D42</f>
        <v>252.07617747790403</v>
      </c>
      <c r="E67" s="20"/>
      <c r="F67" s="20"/>
      <c r="G67" s="20"/>
    </row>
    <row r="68" spans="1:7" hidden="1" outlineLevel="1" x14ac:dyDescent="0.3">
      <c r="A68" s="159" t="s">
        <v>49</v>
      </c>
      <c r="B68" s="40" t="s">
        <v>50</v>
      </c>
      <c r="C68" s="46">
        <f>C53</f>
        <v>0.36800000000000005</v>
      </c>
      <c r="D68" s="25">
        <f>D53</f>
        <v>1046.9083759482321</v>
      </c>
      <c r="E68" s="20"/>
      <c r="F68" s="20"/>
      <c r="G68" s="20"/>
    </row>
    <row r="69" spans="1:7" hidden="1" outlineLevel="1" x14ac:dyDescent="0.3">
      <c r="A69" s="159" t="s">
        <v>65</v>
      </c>
      <c r="B69" s="40" t="s">
        <v>58</v>
      </c>
      <c r="C69" s="46">
        <f>D64/D34</f>
        <v>0.21914441335657991</v>
      </c>
      <c r="D69" s="25">
        <f>D64</f>
        <v>568.19402778409096</v>
      </c>
      <c r="E69" s="20"/>
      <c r="F69" s="20"/>
      <c r="G69" s="20"/>
    </row>
    <row r="70" spans="1:7" collapsed="1" x14ac:dyDescent="0.3">
      <c r="A70" s="292" t="s">
        <v>14</v>
      </c>
      <c r="B70" s="294"/>
      <c r="C70" s="293"/>
      <c r="D70" s="37">
        <f>SUM(D67:D69)</f>
        <v>1867.1785812102271</v>
      </c>
      <c r="E70" s="20"/>
      <c r="F70" s="20"/>
      <c r="G70" s="20"/>
    </row>
    <row r="71" spans="1:7" x14ac:dyDescent="0.3">
      <c r="A71" s="289"/>
      <c r="B71" s="290"/>
      <c r="C71" s="290"/>
      <c r="D71" s="291"/>
      <c r="E71" s="20"/>
      <c r="F71" s="20"/>
      <c r="G71" s="20"/>
    </row>
    <row r="72" spans="1:7" x14ac:dyDescent="0.3">
      <c r="A72" s="283" t="s">
        <v>126</v>
      </c>
      <c r="B72" s="284"/>
      <c r="C72" s="284"/>
      <c r="D72" s="285"/>
      <c r="E72" s="20"/>
      <c r="F72" s="20"/>
      <c r="G72" s="20"/>
    </row>
    <row r="73" spans="1:7" hidden="1" outlineLevel="1" x14ac:dyDescent="0.3">
      <c r="A73" s="289"/>
      <c r="B73" s="290"/>
      <c r="C73" s="290"/>
      <c r="D73" s="291"/>
      <c r="E73" s="20"/>
      <c r="F73" s="20"/>
      <c r="G73" s="20"/>
    </row>
    <row r="74" spans="1:7" hidden="1" outlineLevel="1" x14ac:dyDescent="0.3">
      <c r="A74" s="157" t="s">
        <v>129</v>
      </c>
      <c r="B74" s="31" t="s">
        <v>130</v>
      </c>
      <c r="C74" s="30" t="s">
        <v>47</v>
      </c>
      <c r="D74" s="30" t="s">
        <v>39</v>
      </c>
      <c r="E74" s="20"/>
      <c r="F74" s="20"/>
      <c r="G74" s="20"/>
    </row>
    <row r="75" spans="1:7" hidden="1" outlineLevel="2" x14ac:dyDescent="0.3">
      <c r="A75" s="47" t="s">
        <v>40</v>
      </c>
      <c r="B75" s="48" t="s">
        <v>131</v>
      </c>
      <c r="C75" s="47" t="s">
        <v>132</v>
      </c>
      <c r="D75" s="49">
        <f>IF(C86&gt;1,SUM(D76:D79)*2,SUM(D76:D79))</f>
        <v>3653.8081816597228</v>
      </c>
      <c r="E75" s="20"/>
      <c r="F75" s="20"/>
      <c r="G75" s="20"/>
    </row>
    <row r="76" spans="1:7" hidden="1" outlineLevel="2" x14ac:dyDescent="0.3">
      <c r="A76" s="50" t="s">
        <v>128</v>
      </c>
      <c r="B76" s="51" t="s">
        <v>133</v>
      </c>
      <c r="C76" s="47">
        <f>(IF(C12&gt;60,45,IF(C12&gt;48,42,IF(C12&gt;36,39,IF(C12&gt;24,36,IF(C12&gt;12,33,30)))))/30)</f>
        <v>1.1000000000000001</v>
      </c>
      <c r="D76" s="49">
        <f>D34*C76</f>
        <v>2852.0618937500003</v>
      </c>
      <c r="E76" s="20"/>
      <c r="F76" s="20"/>
      <c r="G76" s="20"/>
    </row>
    <row r="77" spans="1:7" hidden="1" outlineLevel="2" x14ac:dyDescent="0.3">
      <c r="A77" s="50" t="s">
        <v>142</v>
      </c>
      <c r="B77" s="51" t="s">
        <v>134</v>
      </c>
      <c r="C77" s="34">
        <f>1/12</f>
        <v>8.3333333333333329E-2</v>
      </c>
      <c r="D77" s="49">
        <f>C77*D76</f>
        <v>237.67182447916667</v>
      </c>
      <c r="E77" s="20"/>
      <c r="F77" s="20"/>
      <c r="G77" s="20"/>
    </row>
    <row r="78" spans="1:7" hidden="1" outlineLevel="2" x14ac:dyDescent="0.3">
      <c r="A78" s="50" t="s">
        <v>143</v>
      </c>
      <c r="B78" s="51" t="s">
        <v>135</v>
      </c>
      <c r="C78" s="34">
        <f>(1/12)+(1/12/3)</f>
        <v>0.1111111111111111</v>
      </c>
      <c r="D78" s="52">
        <f>C78*D76</f>
        <v>316.89576597222225</v>
      </c>
      <c r="E78" s="20"/>
      <c r="F78" s="20"/>
      <c r="G78" s="20"/>
    </row>
    <row r="79" spans="1:7" hidden="1" outlineLevel="2" x14ac:dyDescent="0.3">
      <c r="A79" s="50" t="s">
        <v>144</v>
      </c>
      <c r="B79" s="51" t="s">
        <v>136</v>
      </c>
      <c r="C79" s="53">
        <v>0.08</v>
      </c>
      <c r="D79" s="49">
        <f>SUM(D76:D77)*C79</f>
        <v>247.17869745833337</v>
      </c>
      <c r="E79" s="20"/>
      <c r="F79" s="20"/>
      <c r="G79" s="20"/>
    </row>
    <row r="80" spans="1:7" hidden="1" outlineLevel="2" x14ac:dyDescent="0.3">
      <c r="A80" s="47" t="s">
        <v>19</v>
      </c>
      <c r="B80" s="48" t="s">
        <v>137</v>
      </c>
      <c r="C80" s="54">
        <v>0.4</v>
      </c>
      <c r="D80" s="49">
        <f>C80*D81</f>
        <v>2184.8522628484843</v>
      </c>
      <c r="E80" s="20"/>
      <c r="F80" s="20"/>
      <c r="G80" s="20"/>
    </row>
    <row r="81" spans="1:7" hidden="1" outlineLevel="2" x14ac:dyDescent="0.3">
      <c r="A81" s="47" t="s">
        <v>120</v>
      </c>
      <c r="B81" s="48" t="s">
        <v>138</v>
      </c>
      <c r="C81" s="54">
        <f>C52</f>
        <v>0.08</v>
      </c>
      <c r="D81" s="49">
        <f>C81*D82</f>
        <v>5462.1306571212108</v>
      </c>
      <c r="E81" s="20"/>
      <c r="F81" s="20"/>
      <c r="G81" s="20"/>
    </row>
    <row r="82" spans="1:7" hidden="1" outlineLevel="2" x14ac:dyDescent="0.3">
      <c r="A82" s="47" t="s">
        <v>145</v>
      </c>
      <c r="B82" s="55" t="s">
        <v>102</v>
      </c>
      <c r="C82" s="56" t="s">
        <v>132</v>
      </c>
      <c r="D82" s="52">
        <f>SUM(D83:D85)</f>
        <v>68276.633214015135</v>
      </c>
      <c r="E82" s="20"/>
      <c r="F82" s="20"/>
      <c r="G82" s="20"/>
    </row>
    <row r="83" spans="1:7" hidden="1" outlineLevel="2" x14ac:dyDescent="0.3">
      <c r="A83" s="50" t="s">
        <v>146</v>
      </c>
      <c r="B83" s="51" t="s">
        <v>139</v>
      </c>
      <c r="C83" s="57">
        <f>C12-C85</f>
        <v>23</v>
      </c>
      <c r="D83" s="49">
        <f>D34*C83</f>
        <v>59634.021414772724</v>
      </c>
      <c r="E83" s="20"/>
      <c r="F83" s="20"/>
      <c r="G83" s="20"/>
    </row>
    <row r="84" spans="1:7" hidden="1" outlineLevel="2" x14ac:dyDescent="0.3">
      <c r="A84" s="50" t="s">
        <v>147</v>
      </c>
      <c r="B84" s="51" t="s">
        <v>140</v>
      </c>
      <c r="C84" s="58">
        <f>C12/12</f>
        <v>2</v>
      </c>
      <c r="D84" s="49">
        <f>D34*C84</f>
        <v>5185.5670795454544</v>
      </c>
      <c r="E84" s="20"/>
      <c r="F84" s="20"/>
      <c r="G84" s="20"/>
    </row>
    <row r="85" spans="1:7" hidden="1" outlineLevel="2" x14ac:dyDescent="0.3">
      <c r="A85" s="50" t="s">
        <v>148</v>
      </c>
      <c r="B85" s="51" t="s">
        <v>141</v>
      </c>
      <c r="C85" s="56">
        <f>IF(C12&gt;60,5,IF(C12&gt;48,4,IF(C12&gt;36,3,IF(C12&gt;24,2,IF(C12&gt;12,1,0)))))</f>
        <v>1</v>
      </c>
      <c r="D85" s="52">
        <f>D34*C85*1.33333333333333</f>
        <v>3457.0447196969608</v>
      </c>
      <c r="E85" s="20"/>
      <c r="F85" s="20"/>
      <c r="G85" s="20"/>
    </row>
    <row r="86" spans="1:7" hidden="1" outlineLevel="1" collapsed="1" x14ac:dyDescent="0.3">
      <c r="A86" s="292" t="s">
        <v>14</v>
      </c>
      <c r="B86" s="293"/>
      <c r="C86" s="163">
        <v>0.1</v>
      </c>
      <c r="D86" s="37">
        <f>IF(C86&gt;1,D75+D80,(D75+D80)*C86)</f>
        <v>583.86604445082071</v>
      </c>
      <c r="E86" s="20"/>
      <c r="F86" s="20"/>
      <c r="G86" s="20"/>
    </row>
    <row r="87" spans="1:7" hidden="1" outlineLevel="1" x14ac:dyDescent="0.3">
      <c r="A87" s="297"/>
      <c r="B87" s="298"/>
      <c r="C87" s="298"/>
      <c r="D87" s="299"/>
      <c r="E87" s="20"/>
      <c r="F87" s="20"/>
      <c r="G87" s="20"/>
    </row>
    <row r="88" spans="1:7" hidden="1" outlineLevel="1" x14ac:dyDescent="0.3">
      <c r="A88" s="157" t="s">
        <v>155</v>
      </c>
      <c r="B88" s="31" t="s">
        <v>154</v>
      </c>
      <c r="C88" s="30" t="s">
        <v>47</v>
      </c>
      <c r="D88" s="30" t="s">
        <v>39</v>
      </c>
      <c r="E88" s="20"/>
      <c r="F88" s="20"/>
      <c r="G88" s="20"/>
    </row>
    <row r="89" spans="1:7" hidden="1" outlineLevel="2" x14ac:dyDescent="0.3">
      <c r="A89" s="47" t="s">
        <v>40</v>
      </c>
      <c r="B89" s="55" t="s">
        <v>149</v>
      </c>
      <c r="C89" s="59">
        <f>IF(C98&gt;1,(1/30*7)*2,(1/30*7))</f>
        <v>0.23333333333333334</v>
      </c>
      <c r="D89" s="52">
        <f>C89*SUM(D90:D94)</f>
        <v>1096.3834685304714</v>
      </c>
      <c r="E89" s="20"/>
      <c r="F89" s="20"/>
      <c r="G89" s="20"/>
    </row>
    <row r="90" spans="1:7" hidden="1" outlineLevel="2" x14ac:dyDescent="0.3">
      <c r="A90" s="50" t="s">
        <v>128</v>
      </c>
      <c r="B90" s="51" t="s">
        <v>150</v>
      </c>
      <c r="C90" s="47">
        <v>1</v>
      </c>
      <c r="D90" s="49">
        <f>D34</f>
        <v>2592.7835397727272</v>
      </c>
      <c r="E90" s="20"/>
      <c r="F90" s="20"/>
      <c r="G90" s="20"/>
    </row>
    <row r="91" spans="1:7" hidden="1" outlineLevel="2" x14ac:dyDescent="0.3">
      <c r="A91" s="50" t="s">
        <v>142</v>
      </c>
      <c r="B91" s="51" t="s">
        <v>151</v>
      </c>
      <c r="C91" s="34">
        <f>1/12</f>
        <v>8.3333333333333329E-2</v>
      </c>
      <c r="D91" s="49">
        <f>C91*D90</f>
        <v>216.06529498106059</v>
      </c>
      <c r="E91" s="20"/>
      <c r="F91" s="20"/>
      <c r="G91" s="20"/>
    </row>
    <row r="92" spans="1:7" hidden="1" outlineLevel="2" x14ac:dyDescent="0.3">
      <c r="A92" s="50" t="s">
        <v>143</v>
      </c>
      <c r="B92" s="51" t="s">
        <v>152</v>
      </c>
      <c r="C92" s="34">
        <f>(1/12)+(1/12/3)</f>
        <v>0.1111111111111111</v>
      </c>
      <c r="D92" s="49">
        <f>C92*D90</f>
        <v>288.08705997474743</v>
      </c>
      <c r="E92" s="20"/>
      <c r="F92" s="20"/>
      <c r="G92" s="20"/>
    </row>
    <row r="93" spans="1:7" hidden="1" outlineLevel="2" x14ac:dyDescent="0.3">
      <c r="A93" s="50" t="s">
        <v>144</v>
      </c>
      <c r="B93" s="60" t="s">
        <v>66</v>
      </c>
      <c r="C93" s="61">
        <f>C53</f>
        <v>0.36800000000000005</v>
      </c>
      <c r="D93" s="52">
        <f>C93*(D90+D91)</f>
        <v>1033.6563711893941</v>
      </c>
      <c r="E93" s="20"/>
      <c r="F93" s="20"/>
      <c r="G93" s="20"/>
    </row>
    <row r="94" spans="1:7" hidden="1" outlineLevel="2" x14ac:dyDescent="0.3">
      <c r="A94" s="50" t="s">
        <v>156</v>
      </c>
      <c r="B94" s="60" t="s">
        <v>153</v>
      </c>
      <c r="C94" s="62">
        <v>1</v>
      </c>
      <c r="D94" s="52">
        <f>D64</f>
        <v>568.19402778409096</v>
      </c>
      <c r="E94" s="20"/>
      <c r="F94" s="20"/>
      <c r="G94" s="20"/>
    </row>
    <row r="95" spans="1:7" hidden="1" outlineLevel="2" x14ac:dyDescent="0.3">
      <c r="A95" s="47" t="s">
        <v>19</v>
      </c>
      <c r="B95" s="48" t="s">
        <v>220</v>
      </c>
      <c r="C95" s="54">
        <v>0.4</v>
      </c>
      <c r="D95" s="49">
        <f>C95*D96</f>
        <v>2184.8522628484843</v>
      </c>
      <c r="E95" s="63"/>
      <c r="F95" s="20"/>
      <c r="G95" s="20"/>
    </row>
    <row r="96" spans="1:7" hidden="1" outlineLevel="2" x14ac:dyDescent="0.3">
      <c r="A96" s="47" t="s">
        <v>120</v>
      </c>
      <c r="B96" s="48" t="s">
        <v>138</v>
      </c>
      <c r="C96" s="54">
        <f>C52</f>
        <v>0.08</v>
      </c>
      <c r="D96" s="49">
        <f>C96*D97</f>
        <v>5462.1306571212108</v>
      </c>
      <c r="E96" s="20"/>
      <c r="F96" s="20"/>
      <c r="G96" s="20"/>
    </row>
    <row r="97" spans="1:7" hidden="1" outlineLevel="2" x14ac:dyDescent="0.3">
      <c r="A97" s="47" t="s">
        <v>145</v>
      </c>
      <c r="B97" s="55" t="s">
        <v>102</v>
      </c>
      <c r="C97" s="56" t="s">
        <v>132</v>
      </c>
      <c r="D97" s="52">
        <f>D82</f>
        <v>68276.633214015135</v>
      </c>
      <c r="E97" s="20"/>
      <c r="F97" s="20"/>
      <c r="G97" s="20"/>
    </row>
    <row r="98" spans="1:7" hidden="1" outlineLevel="1" collapsed="1" x14ac:dyDescent="0.3">
      <c r="A98" s="292" t="s">
        <v>14</v>
      </c>
      <c r="B98" s="293"/>
      <c r="C98" s="163">
        <v>0.9</v>
      </c>
      <c r="D98" s="37">
        <f>IF(C98&gt;1,D89+D95,(D89+D95)*C98)</f>
        <v>2953.1121582410601</v>
      </c>
      <c r="E98" s="20"/>
      <c r="F98" s="20"/>
      <c r="G98" s="20"/>
    </row>
    <row r="99" spans="1:7" hidden="1" outlineLevel="1" x14ac:dyDescent="0.3">
      <c r="A99" s="297"/>
      <c r="B99" s="298"/>
      <c r="C99" s="298"/>
      <c r="D99" s="299"/>
      <c r="E99" s="20"/>
      <c r="F99" s="20"/>
      <c r="G99" s="20"/>
    </row>
    <row r="100" spans="1:7" hidden="1" outlineLevel="1" x14ac:dyDescent="0.3">
      <c r="A100" s="157" t="s">
        <v>160</v>
      </c>
      <c r="B100" s="31" t="s">
        <v>165</v>
      </c>
      <c r="C100" s="30" t="s">
        <v>47</v>
      </c>
      <c r="D100" s="30" t="s">
        <v>39</v>
      </c>
      <c r="E100" s="20"/>
      <c r="F100" s="20"/>
      <c r="G100" s="20"/>
    </row>
    <row r="101" spans="1:7" hidden="1" outlineLevel="2" x14ac:dyDescent="0.3">
      <c r="A101" s="159" t="s">
        <v>40</v>
      </c>
      <c r="B101" s="40" t="s">
        <v>162</v>
      </c>
      <c r="C101" s="46">
        <f>IF(C12&gt;60,(D34/12*(C12-60))/C12/D34,IF(C12&gt;48,(D34/12*(C12-48))/C12/D34,IF(C12&gt;36,(D34/12*(C12-36))/C12/D34,IF(C12&gt;24,(D34/12*(C12-24))/C12/D34,IF(C12&gt;12,((D34/12*(C12-12))/C12/D34),1/12)))))</f>
        <v>4.1666666666666664E-2</v>
      </c>
      <c r="D101" s="64">
        <f>C101*D34</f>
        <v>108.03264749053029</v>
      </c>
      <c r="E101" s="20"/>
      <c r="F101" s="20"/>
      <c r="G101" s="20"/>
    </row>
    <row r="102" spans="1:7" hidden="1" outlineLevel="2" x14ac:dyDescent="0.3">
      <c r="A102" s="159" t="s">
        <v>19</v>
      </c>
      <c r="B102" s="65" t="s">
        <v>163</v>
      </c>
      <c r="C102" s="46">
        <f>C101/3</f>
        <v>1.3888888888888888E-2</v>
      </c>
      <c r="D102" s="66">
        <f>C102*D34</f>
        <v>36.010882496843429</v>
      </c>
      <c r="E102" s="20"/>
      <c r="F102" s="20"/>
      <c r="G102" s="20"/>
    </row>
    <row r="103" spans="1:7" hidden="1" outlineLevel="2" x14ac:dyDescent="0.3">
      <c r="A103" s="159" t="s">
        <v>20</v>
      </c>
      <c r="B103" s="67" t="s">
        <v>166</v>
      </c>
      <c r="C103" s="71">
        <f>C41</f>
        <v>0</v>
      </c>
      <c r="D103" s="25">
        <f>-D41*4</f>
        <v>0</v>
      </c>
      <c r="E103" s="20"/>
      <c r="F103" s="20"/>
      <c r="G103" s="20"/>
    </row>
    <row r="104" spans="1:7" ht="15.75" hidden="1" customHeight="1" outlineLevel="1" collapsed="1" x14ac:dyDescent="0.3">
      <c r="A104" s="292" t="s">
        <v>14</v>
      </c>
      <c r="B104" s="293"/>
      <c r="C104" s="36">
        <f>C101+C102+(D103/D34)</f>
        <v>5.5555555555555552E-2</v>
      </c>
      <c r="D104" s="37">
        <f>SUM(D101:D103)</f>
        <v>144.04352998737372</v>
      </c>
      <c r="E104" s="20"/>
      <c r="F104" s="20"/>
      <c r="G104" s="20"/>
    </row>
    <row r="105" spans="1:7" hidden="1" outlineLevel="1" x14ac:dyDescent="0.3">
      <c r="A105" s="297"/>
      <c r="B105" s="298"/>
      <c r="C105" s="298"/>
      <c r="D105" s="299"/>
      <c r="E105" s="63"/>
      <c r="F105" s="20"/>
      <c r="G105" s="20"/>
    </row>
    <row r="106" spans="1:7" hidden="1" outlineLevel="1" x14ac:dyDescent="0.3">
      <c r="A106" s="295" t="s">
        <v>161</v>
      </c>
      <c r="B106" s="296"/>
      <c r="C106" s="30" t="s">
        <v>47</v>
      </c>
      <c r="D106" s="30" t="s">
        <v>39</v>
      </c>
      <c r="E106" s="63"/>
      <c r="F106" s="20"/>
      <c r="G106" s="20"/>
    </row>
    <row r="107" spans="1:7" hidden="1" outlineLevel="1" x14ac:dyDescent="0.3">
      <c r="A107" s="159" t="s">
        <v>129</v>
      </c>
      <c r="B107" s="40" t="s">
        <v>130</v>
      </c>
      <c r="C107" s="46">
        <f>C86</f>
        <v>0.1</v>
      </c>
      <c r="D107" s="25">
        <f>D86</f>
        <v>583.86604445082071</v>
      </c>
      <c r="E107" s="63"/>
      <c r="F107" s="20"/>
      <c r="G107" s="20"/>
    </row>
    <row r="108" spans="1:7" hidden="1" outlineLevel="1" x14ac:dyDescent="0.3">
      <c r="A108" s="32" t="s">
        <v>155</v>
      </c>
      <c r="B108" s="40" t="s">
        <v>154</v>
      </c>
      <c r="C108" s="68">
        <f>C98</f>
        <v>0.9</v>
      </c>
      <c r="D108" s="25">
        <f>D98</f>
        <v>2953.1121582410601</v>
      </c>
      <c r="E108" s="63"/>
      <c r="F108" s="20"/>
      <c r="G108" s="20"/>
    </row>
    <row r="109" spans="1:7" hidden="1" outlineLevel="1" x14ac:dyDescent="0.3">
      <c r="A109" s="300" t="s">
        <v>164</v>
      </c>
      <c r="B109" s="300"/>
      <c r="C109" s="300"/>
      <c r="D109" s="69">
        <f>D107+D108</f>
        <v>3536.9782026918811</v>
      </c>
      <c r="E109" s="63"/>
      <c r="F109" s="20"/>
      <c r="G109" s="20"/>
    </row>
    <row r="110" spans="1:7" hidden="1" outlineLevel="1" x14ac:dyDescent="0.3">
      <c r="A110" s="301" t="s">
        <v>195</v>
      </c>
      <c r="B110" s="302"/>
      <c r="C110" s="164">
        <v>0.71030000000000004</v>
      </c>
      <c r="D110" s="123">
        <f>C110*D109</f>
        <v>2512.3156173720431</v>
      </c>
      <c r="E110" s="63"/>
      <c r="F110" s="20"/>
      <c r="G110" s="20"/>
    </row>
    <row r="111" spans="1:7" hidden="1" outlineLevel="1" x14ac:dyDescent="0.3">
      <c r="A111" s="303" t="s">
        <v>194</v>
      </c>
      <c r="B111" s="304"/>
      <c r="C111" s="172">
        <f>1/C12</f>
        <v>4.1666666666666664E-2</v>
      </c>
      <c r="D111" s="132">
        <f>D110*C111</f>
        <v>104.6798173905018</v>
      </c>
      <c r="E111" s="63"/>
      <c r="F111" s="20"/>
      <c r="G111" s="20"/>
    </row>
    <row r="112" spans="1:7" hidden="1" outlineLevel="1" x14ac:dyDescent="0.3">
      <c r="A112" s="32" t="s">
        <v>160</v>
      </c>
      <c r="B112" s="40" t="s">
        <v>159</v>
      </c>
      <c r="C112" s="68"/>
      <c r="D112" s="122">
        <f>D104</f>
        <v>144.04352998737372</v>
      </c>
      <c r="E112" s="63"/>
      <c r="F112" s="20"/>
      <c r="G112" s="20"/>
    </row>
    <row r="113" spans="1:7" collapsed="1" x14ac:dyDescent="0.3">
      <c r="A113" s="292" t="s">
        <v>67</v>
      </c>
      <c r="B113" s="293"/>
      <c r="C113" s="36"/>
      <c r="D113" s="70">
        <f>D111+D112</f>
        <v>248.72334737787551</v>
      </c>
      <c r="E113" s="20"/>
      <c r="F113" s="20"/>
      <c r="G113" s="20"/>
    </row>
    <row r="114" spans="1:7" x14ac:dyDescent="0.3">
      <c r="A114" s="289"/>
      <c r="B114" s="290"/>
      <c r="C114" s="290"/>
      <c r="D114" s="291"/>
      <c r="E114" s="20"/>
      <c r="F114" s="20"/>
      <c r="G114" s="20"/>
    </row>
    <row r="115" spans="1:7" x14ac:dyDescent="0.3">
      <c r="A115" s="286" t="s">
        <v>68</v>
      </c>
      <c r="B115" s="287"/>
      <c r="C115" s="287"/>
      <c r="D115" s="288"/>
      <c r="E115" s="20"/>
      <c r="F115" s="20"/>
      <c r="G115" s="20"/>
    </row>
    <row r="116" spans="1:7" hidden="1" outlineLevel="1" x14ac:dyDescent="0.3">
      <c r="A116" s="297"/>
      <c r="B116" s="298"/>
      <c r="C116" s="298"/>
      <c r="D116" s="299"/>
      <c r="E116" s="20"/>
      <c r="F116" s="20"/>
      <c r="G116" s="20"/>
    </row>
    <row r="117" spans="1:7" hidden="1" outlineLevel="1" x14ac:dyDescent="0.3">
      <c r="A117" s="30" t="s">
        <v>69</v>
      </c>
      <c r="B117" s="38" t="s">
        <v>124</v>
      </c>
      <c r="C117" s="36" t="s">
        <v>47</v>
      </c>
      <c r="D117" s="30" t="s">
        <v>39</v>
      </c>
      <c r="E117" s="20"/>
      <c r="F117" s="20"/>
      <c r="G117" s="20"/>
    </row>
    <row r="118" spans="1:7" hidden="1" outlineLevel="2" x14ac:dyDescent="0.3">
      <c r="A118" s="159" t="s">
        <v>40</v>
      </c>
      <c r="B118" s="40" t="s">
        <v>70</v>
      </c>
      <c r="C118" s="71">
        <f>IF(C12&gt;60,5/C12,IF(C12&gt;48,4/C12,IF(C12&gt;36,3/C12,IF(C12&gt;24,2/C12,IF(C12&gt;12,1/C12,0)))))</f>
        <v>4.1666666666666664E-2</v>
      </c>
      <c r="D118" s="64">
        <f>C118*(D34+D70+D113)</f>
        <v>196.19522784836789</v>
      </c>
      <c r="E118" s="133"/>
      <c r="F118" s="20"/>
      <c r="G118" s="72"/>
    </row>
    <row r="119" spans="1:7" hidden="1" outlineLevel="2" x14ac:dyDescent="0.3">
      <c r="A119" s="73" t="s">
        <v>128</v>
      </c>
      <c r="B119" s="40" t="s">
        <v>127</v>
      </c>
      <c r="C119" s="71">
        <f>C41</f>
        <v>0</v>
      </c>
      <c r="D119" s="122">
        <f>-D118*(1/3)*(C119)</f>
        <v>0</v>
      </c>
      <c r="E119" s="20"/>
      <c r="F119" s="20"/>
      <c r="G119" s="20"/>
    </row>
    <row r="120" spans="1:7" hidden="1" outlineLevel="1" collapsed="1" x14ac:dyDescent="0.3">
      <c r="A120" s="292" t="s">
        <v>158</v>
      </c>
      <c r="B120" s="293"/>
      <c r="C120" s="36">
        <f>C118+(D119/D34)</f>
        <v>4.1666666666666664E-2</v>
      </c>
      <c r="D120" s="37">
        <f>SUM(D118:D119)</f>
        <v>196.19522784836789</v>
      </c>
      <c r="E120" s="20"/>
      <c r="F120" s="20"/>
      <c r="G120" s="20"/>
    </row>
    <row r="121" spans="1:7" hidden="1" outlineLevel="1" x14ac:dyDescent="0.3">
      <c r="A121" s="297"/>
      <c r="B121" s="298"/>
      <c r="C121" s="298"/>
      <c r="D121" s="299"/>
      <c r="E121" s="20"/>
      <c r="F121" s="20"/>
      <c r="G121" s="20"/>
    </row>
    <row r="122" spans="1:7" hidden="1" outlineLevel="1" x14ac:dyDescent="0.3">
      <c r="A122" s="30" t="s">
        <v>123</v>
      </c>
      <c r="B122" s="38" t="s">
        <v>125</v>
      </c>
      <c r="C122" s="36" t="s">
        <v>47</v>
      </c>
      <c r="D122" s="30" t="s">
        <v>39</v>
      </c>
      <c r="E122" s="20"/>
      <c r="F122" s="20"/>
      <c r="G122" s="20"/>
    </row>
    <row r="123" spans="1:7" hidden="1" outlineLevel="2" x14ac:dyDescent="0.3">
      <c r="A123" s="159" t="s">
        <v>40</v>
      </c>
      <c r="B123" s="149" t="s">
        <v>122</v>
      </c>
      <c r="C123" s="165">
        <v>1.35E-2</v>
      </c>
      <c r="D123" s="64">
        <f t="shared" ref="D123:D128" si="1">C123*($D$64+$D$113+$D$34)</f>
        <v>46.030962351618363</v>
      </c>
      <c r="E123" s="20"/>
      <c r="F123" s="20"/>
      <c r="G123" s="72"/>
    </row>
    <row r="124" spans="1:7" hidden="1" outlineLevel="2" x14ac:dyDescent="0.3">
      <c r="A124" s="159" t="s">
        <v>19</v>
      </c>
      <c r="B124" s="40" t="s">
        <v>104</v>
      </c>
      <c r="C124" s="180">
        <v>1.66E-2</v>
      </c>
      <c r="D124" s="64">
        <f t="shared" si="1"/>
        <v>56.601035187915912</v>
      </c>
      <c r="E124" s="20"/>
      <c r="F124" s="20"/>
      <c r="G124" s="72"/>
    </row>
    <row r="125" spans="1:7" hidden="1" outlineLevel="2" x14ac:dyDescent="0.3">
      <c r="A125" s="159" t="s">
        <v>20</v>
      </c>
      <c r="B125" s="40" t="s">
        <v>105</v>
      </c>
      <c r="C125" s="180">
        <v>2.7000000000000001E-3</v>
      </c>
      <c r="D125" s="64">
        <f t="shared" si="1"/>
        <v>9.206192470323673</v>
      </c>
      <c r="E125" s="20"/>
      <c r="F125" s="20"/>
      <c r="G125" s="72"/>
    </row>
    <row r="126" spans="1:7" hidden="1" outlineLevel="2" x14ac:dyDescent="0.3">
      <c r="A126" s="159" t="s">
        <v>22</v>
      </c>
      <c r="B126" s="40" t="s">
        <v>103</v>
      </c>
      <c r="C126" s="180">
        <v>2.8E-3</v>
      </c>
      <c r="D126" s="64">
        <f t="shared" si="1"/>
        <v>9.5471625618171423</v>
      </c>
      <c r="E126" s="20"/>
      <c r="F126" s="20"/>
      <c r="G126" s="20"/>
    </row>
    <row r="127" spans="1:7" hidden="1" outlineLevel="2" x14ac:dyDescent="0.3">
      <c r="A127" s="159" t="s">
        <v>25</v>
      </c>
      <c r="B127" s="40" t="s">
        <v>71</v>
      </c>
      <c r="C127" s="180">
        <v>2.0000000000000001E-4</v>
      </c>
      <c r="D127" s="64">
        <f t="shared" si="1"/>
        <v>0.6819401829869387</v>
      </c>
      <c r="E127" s="20"/>
      <c r="F127" s="20"/>
      <c r="G127" s="20"/>
    </row>
    <row r="128" spans="1:7" hidden="1" outlineLevel="2" x14ac:dyDescent="0.3">
      <c r="A128" s="159" t="s">
        <v>27</v>
      </c>
      <c r="B128" s="40" t="s">
        <v>72</v>
      </c>
      <c r="C128" s="180">
        <v>2.9999999999999997E-4</v>
      </c>
      <c r="D128" s="64">
        <f t="shared" si="1"/>
        <v>1.0229102744804079</v>
      </c>
      <c r="E128" s="20"/>
      <c r="F128" s="20"/>
      <c r="G128" s="20"/>
    </row>
    <row r="129" spans="1:7" hidden="1" outlineLevel="1" collapsed="1" x14ac:dyDescent="0.3">
      <c r="A129" s="292" t="s">
        <v>158</v>
      </c>
      <c r="B129" s="293"/>
      <c r="C129" s="36">
        <f>SUM(C123:C128)</f>
        <v>3.61E-2</v>
      </c>
      <c r="D129" s="37">
        <f>SUM(D123:D128)</f>
        <v>123.09020302914243</v>
      </c>
      <c r="E129" s="20"/>
      <c r="F129" s="20"/>
      <c r="G129" s="20"/>
    </row>
    <row r="130" spans="1:7" hidden="1" outlineLevel="1" x14ac:dyDescent="0.3">
      <c r="A130" s="297"/>
      <c r="B130" s="298"/>
      <c r="C130" s="298"/>
      <c r="D130" s="299"/>
      <c r="E130" s="20"/>
      <c r="F130" s="20"/>
      <c r="G130" s="20"/>
    </row>
    <row r="131" spans="1:7" hidden="1" outlineLevel="1" x14ac:dyDescent="0.3">
      <c r="A131" s="295" t="s">
        <v>157</v>
      </c>
      <c r="B131" s="296"/>
      <c r="C131" s="30" t="s">
        <v>47</v>
      </c>
      <c r="D131" s="30" t="s">
        <v>39</v>
      </c>
      <c r="E131" s="20"/>
      <c r="F131" s="20"/>
      <c r="G131" s="20"/>
    </row>
    <row r="132" spans="1:7" hidden="1" outlineLevel="1" x14ac:dyDescent="0.3">
      <c r="A132" s="159" t="s">
        <v>69</v>
      </c>
      <c r="B132" s="40" t="s">
        <v>124</v>
      </c>
      <c r="C132" s="46"/>
      <c r="D132" s="98">
        <f>D120</f>
        <v>196.19522784836789</v>
      </c>
      <c r="E132" s="20"/>
      <c r="F132" s="20"/>
      <c r="G132" s="20"/>
    </row>
    <row r="133" spans="1:7" hidden="1" outlineLevel="1" x14ac:dyDescent="0.3">
      <c r="A133" s="159" t="s">
        <v>123</v>
      </c>
      <c r="B133" s="40" t="s">
        <v>125</v>
      </c>
      <c r="C133" s="46"/>
      <c r="D133" s="98">
        <f>D129</f>
        <v>123.09020302914243</v>
      </c>
      <c r="E133" s="20"/>
      <c r="F133" s="20"/>
      <c r="G133" s="20"/>
    </row>
    <row r="134" spans="1:7" collapsed="1" x14ac:dyDescent="0.3">
      <c r="A134" s="292" t="s">
        <v>14</v>
      </c>
      <c r="B134" s="294"/>
      <c r="C134" s="293"/>
      <c r="D134" s="99">
        <f>SUM(D132:D133)</f>
        <v>319.28543087751029</v>
      </c>
      <c r="E134" s="20"/>
      <c r="F134" s="20"/>
      <c r="G134" s="20"/>
    </row>
    <row r="135" spans="1:7" x14ac:dyDescent="0.3">
      <c r="A135" s="297"/>
      <c r="B135" s="298"/>
      <c r="C135" s="298"/>
      <c r="D135" s="299"/>
      <c r="E135" s="20"/>
      <c r="F135" s="20"/>
      <c r="G135" s="20"/>
    </row>
    <row r="136" spans="1:7" x14ac:dyDescent="0.3">
      <c r="A136" s="286" t="s">
        <v>73</v>
      </c>
      <c r="B136" s="287"/>
      <c r="C136" s="287"/>
      <c r="D136" s="288"/>
      <c r="E136" s="20"/>
      <c r="F136" s="20"/>
      <c r="G136" s="20"/>
    </row>
    <row r="137" spans="1:7" hidden="1" outlineLevel="1" x14ac:dyDescent="0.3">
      <c r="A137" s="297"/>
      <c r="B137" s="298"/>
      <c r="C137" s="298"/>
      <c r="D137" s="299"/>
      <c r="E137" s="20"/>
      <c r="F137" s="20"/>
      <c r="G137" s="20"/>
    </row>
    <row r="138" spans="1:7" hidden="1" outlineLevel="1" x14ac:dyDescent="0.3">
      <c r="A138" s="157">
        <v>5</v>
      </c>
      <c r="B138" s="292" t="s">
        <v>248</v>
      </c>
      <c r="C138" s="293"/>
      <c r="D138" s="30" t="s">
        <v>39</v>
      </c>
      <c r="E138" s="20"/>
      <c r="F138" s="20"/>
      <c r="G138" s="20"/>
    </row>
    <row r="139" spans="1:7" hidden="1" outlineLevel="1" x14ac:dyDescent="0.3">
      <c r="A139" s="159" t="s">
        <v>40</v>
      </c>
      <c r="B139" s="308" t="s">
        <v>249</v>
      </c>
      <c r="C139" s="309"/>
      <c r="D139" s="95">
        <f>INSUMOS!H17</f>
        <v>53.838916666666663</v>
      </c>
      <c r="E139" s="20"/>
      <c r="F139" s="20"/>
      <c r="G139" s="20"/>
    </row>
    <row r="140" spans="1:7" hidden="1" outlineLevel="1" x14ac:dyDescent="0.3">
      <c r="A140" s="159" t="s">
        <v>19</v>
      </c>
      <c r="B140" s="308" t="s">
        <v>269</v>
      </c>
      <c r="C140" s="309"/>
      <c r="D140" s="74">
        <f>INSUMOS!H39</f>
        <v>23.641805555555553</v>
      </c>
      <c r="E140" s="20"/>
      <c r="F140" s="20"/>
      <c r="G140" s="20"/>
    </row>
    <row r="141" spans="1:7" hidden="1" outlineLevel="1" x14ac:dyDescent="0.3">
      <c r="A141" s="159" t="s">
        <v>20</v>
      </c>
      <c r="B141" s="310" t="s">
        <v>268</v>
      </c>
      <c r="C141" s="311"/>
      <c r="D141" s="181">
        <f>INSUMOS!H49</f>
        <v>31.25</v>
      </c>
      <c r="E141" s="20"/>
      <c r="F141" s="20"/>
      <c r="G141" s="20"/>
    </row>
    <row r="142" spans="1:7" hidden="1" outlineLevel="1" x14ac:dyDescent="0.3">
      <c r="A142" s="159" t="s">
        <v>25</v>
      </c>
      <c r="B142" s="312" t="s">
        <v>42</v>
      </c>
      <c r="C142" s="313"/>
      <c r="D142" s="96">
        <v>0</v>
      </c>
      <c r="E142" s="20"/>
      <c r="F142" s="20"/>
      <c r="G142" s="20"/>
    </row>
    <row r="143" spans="1:7" collapsed="1" x14ac:dyDescent="0.3">
      <c r="A143" s="292" t="s">
        <v>74</v>
      </c>
      <c r="B143" s="294"/>
      <c r="C143" s="293"/>
      <c r="D143" s="97">
        <f>SUM(D139:D142)</f>
        <v>108.73072222222221</v>
      </c>
      <c r="E143" s="20"/>
      <c r="F143" s="20"/>
      <c r="G143" s="20"/>
    </row>
    <row r="144" spans="1:7" x14ac:dyDescent="0.3">
      <c r="A144" s="289"/>
      <c r="B144" s="290"/>
      <c r="C144" s="290"/>
      <c r="D144" s="291"/>
      <c r="E144" s="20"/>
      <c r="F144" s="20"/>
      <c r="G144" s="20"/>
    </row>
    <row r="145" spans="1:7" x14ac:dyDescent="0.3">
      <c r="A145" s="314" t="s">
        <v>75</v>
      </c>
      <c r="B145" s="314"/>
      <c r="C145" s="314"/>
      <c r="D145" s="160">
        <f>D34+D70+D113+D134+D143</f>
        <v>5136.7016214605628</v>
      </c>
      <c r="E145" s="20"/>
      <c r="F145" s="20"/>
      <c r="G145" s="20"/>
    </row>
    <row r="146" spans="1:7" x14ac:dyDescent="0.3">
      <c r="A146" s="271"/>
      <c r="B146" s="271"/>
      <c r="C146" s="271"/>
      <c r="D146" s="271"/>
      <c r="E146" s="20"/>
      <c r="F146" s="20"/>
      <c r="G146" s="20"/>
    </row>
    <row r="147" spans="1:7" x14ac:dyDescent="0.3">
      <c r="A147" s="315" t="s">
        <v>76</v>
      </c>
      <c r="B147" s="315"/>
      <c r="C147" s="315"/>
      <c r="D147" s="315"/>
      <c r="E147" s="20"/>
      <c r="F147" s="20"/>
      <c r="G147" s="20"/>
    </row>
    <row r="148" spans="1:7" hidden="1" outlineLevel="1" x14ac:dyDescent="0.3">
      <c r="A148" s="316"/>
      <c r="B148" s="317"/>
      <c r="C148" s="317"/>
      <c r="D148" s="318"/>
      <c r="E148" s="20"/>
      <c r="F148" s="20"/>
      <c r="G148" s="20"/>
    </row>
    <row r="149" spans="1:7" hidden="1" outlineLevel="1" x14ac:dyDescent="0.3">
      <c r="A149" s="157">
        <v>6</v>
      </c>
      <c r="B149" s="38" t="s">
        <v>77</v>
      </c>
      <c r="C149" s="30" t="s">
        <v>47</v>
      </c>
      <c r="D149" s="30" t="s">
        <v>39</v>
      </c>
      <c r="E149" s="20"/>
      <c r="F149" s="20"/>
      <c r="G149" s="20"/>
    </row>
    <row r="150" spans="1:7" hidden="1" outlineLevel="1" x14ac:dyDescent="0.3">
      <c r="A150" s="159" t="s">
        <v>40</v>
      </c>
      <c r="B150" s="40" t="s">
        <v>78</v>
      </c>
      <c r="C150" s="166">
        <v>5.6599999999999998E-2</v>
      </c>
      <c r="D150" s="28">
        <f>C150*D145</f>
        <v>290.73731177466783</v>
      </c>
      <c r="E150" s="20"/>
      <c r="F150" s="20"/>
      <c r="G150" s="20"/>
    </row>
    <row r="151" spans="1:7" hidden="1" outlineLevel="1" x14ac:dyDescent="0.3">
      <c r="A151" s="305" t="s">
        <v>4</v>
      </c>
      <c r="B151" s="306"/>
      <c r="C151" s="307"/>
      <c r="D151" s="28">
        <f>D145+D150</f>
        <v>5427.4389332352303</v>
      </c>
      <c r="E151" s="20"/>
      <c r="F151" s="20"/>
      <c r="G151" s="20"/>
    </row>
    <row r="152" spans="1:7" hidden="1" outlineLevel="1" x14ac:dyDescent="0.3">
      <c r="A152" s="159" t="s">
        <v>19</v>
      </c>
      <c r="B152" s="40" t="s">
        <v>79</v>
      </c>
      <c r="C152" s="166">
        <v>5.62E-2</v>
      </c>
      <c r="D152" s="28">
        <f>C152*D151</f>
        <v>305.02206804781991</v>
      </c>
      <c r="E152" s="20"/>
      <c r="F152" s="20"/>
      <c r="G152" s="20"/>
    </row>
    <row r="153" spans="1:7" hidden="1" outlineLevel="1" x14ac:dyDescent="0.3">
      <c r="A153" s="305" t="s">
        <v>4</v>
      </c>
      <c r="B153" s="306"/>
      <c r="C153" s="306"/>
      <c r="D153" s="28">
        <f>D152+D151</f>
        <v>5732.4610012830499</v>
      </c>
      <c r="E153" s="20"/>
      <c r="F153" s="20"/>
      <c r="G153" s="20"/>
    </row>
    <row r="154" spans="1:7" hidden="1" outlineLevel="1" x14ac:dyDescent="0.3">
      <c r="A154" s="159" t="s">
        <v>20</v>
      </c>
      <c r="B154" s="310" t="s">
        <v>80</v>
      </c>
      <c r="C154" s="319"/>
      <c r="D154" s="311"/>
      <c r="E154" s="20"/>
      <c r="F154" s="20"/>
      <c r="G154" s="20"/>
    </row>
    <row r="155" spans="1:7" hidden="1" outlineLevel="1" x14ac:dyDescent="0.3">
      <c r="A155" s="88"/>
      <c r="B155" s="158" t="s">
        <v>81</v>
      </c>
      <c r="C155" s="166">
        <v>6.4999999999999997E-3</v>
      </c>
      <c r="D155" s="28">
        <f>(D153/(1-C158)*C155)</f>
        <v>39.702713381289101</v>
      </c>
      <c r="E155" s="20"/>
      <c r="F155" s="20"/>
      <c r="G155" s="20"/>
    </row>
    <row r="156" spans="1:7" hidden="1" outlineLevel="1" x14ac:dyDescent="0.3">
      <c r="A156" s="88"/>
      <c r="B156" s="158" t="s">
        <v>82</v>
      </c>
      <c r="C156" s="166">
        <v>0.03</v>
      </c>
      <c r="D156" s="28">
        <f>(D153/(1-C158)*C156)</f>
        <v>183.24329252902663</v>
      </c>
      <c r="E156" s="20"/>
      <c r="F156" s="20"/>
      <c r="G156" s="20"/>
    </row>
    <row r="157" spans="1:7" hidden="1" outlineLevel="1" x14ac:dyDescent="0.3">
      <c r="A157" s="88"/>
      <c r="B157" s="158" t="s">
        <v>238</v>
      </c>
      <c r="C157" s="75">
        <v>2.5000000000000001E-2</v>
      </c>
      <c r="D157" s="28">
        <f>(D153/(1-C158)*C157)</f>
        <v>152.70274377418886</v>
      </c>
      <c r="E157" s="20"/>
      <c r="F157" s="20"/>
      <c r="G157" s="20"/>
    </row>
    <row r="158" spans="1:7" hidden="1" outlineLevel="1" x14ac:dyDescent="0.3">
      <c r="A158" s="305" t="s">
        <v>83</v>
      </c>
      <c r="B158" s="307"/>
      <c r="C158" s="76">
        <f>SUM(C155:C157)</f>
        <v>6.1499999999999999E-2</v>
      </c>
      <c r="D158" s="28">
        <f>SUM(D155:D157)</f>
        <v>375.64874968450459</v>
      </c>
      <c r="E158" s="20"/>
      <c r="F158" s="20"/>
      <c r="G158" s="20"/>
    </row>
    <row r="159" spans="1:7" collapsed="1" x14ac:dyDescent="0.3">
      <c r="A159" s="292" t="s">
        <v>84</v>
      </c>
      <c r="B159" s="293"/>
      <c r="C159" s="77">
        <f>SUM(C150+C152+C158)</f>
        <v>0.17430000000000001</v>
      </c>
      <c r="D159" s="29">
        <f>SUM(D158+D150+D152)</f>
        <v>971.40812950699228</v>
      </c>
      <c r="E159" s="20"/>
      <c r="F159" s="20"/>
      <c r="G159" s="20"/>
    </row>
    <row r="160" spans="1:7" x14ac:dyDescent="0.3">
      <c r="A160" s="289"/>
      <c r="B160" s="290"/>
      <c r="C160" s="290"/>
      <c r="D160" s="291"/>
      <c r="E160" s="20"/>
      <c r="F160" s="20"/>
      <c r="G160" s="20"/>
    </row>
    <row r="161" spans="1:7" x14ac:dyDescent="0.3">
      <c r="A161" s="280" t="s">
        <v>85</v>
      </c>
      <c r="B161" s="282"/>
      <c r="C161" s="281"/>
      <c r="D161" s="78" t="s">
        <v>39</v>
      </c>
      <c r="E161" s="20"/>
      <c r="F161" s="20"/>
      <c r="G161" s="20"/>
    </row>
    <row r="162" spans="1:7" x14ac:dyDescent="0.3">
      <c r="A162" s="275" t="s">
        <v>86</v>
      </c>
      <c r="B162" s="320"/>
      <c r="C162" s="320"/>
      <c r="D162" s="276"/>
      <c r="E162" s="20"/>
      <c r="F162" s="20"/>
      <c r="G162" s="20"/>
    </row>
    <row r="163" spans="1:7" x14ac:dyDescent="0.3">
      <c r="A163" s="156" t="s">
        <v>40</v>
      </c>
      <c r="B163" s="275" t="s">
        <v>87</v>
      </c>
      <c r="C163" s="276"/>
      <c r="D163" s="25">
        <f>D34</f>
        <v>2592.7835397727272</v>
      </c>
      <c r="E163" s="20"/>
      <c r="F163" s="20"/>
      <c r="G163" s="20"/>
    </row>
    <row r="164" spans="1:7" x14ac:dyDescent="0.3">
      <c r="A164" s="156" t="s">
        <v>19</v>
      </c>
      <c r="B164" s="275" t="s">
        <v>88</v>
      </c>
      <c r="C164" s="276"/>
      <c r="D164" s="25">
        <f>D70</f>
        <v>1867.1785812102271</v>
      </c>
      <c r="E164" s="20"/>
      <c r="F164" s="20"/>
      <c r="G164" s="20"/>
    </row>
    <row r="165" spans="1:7" x14ac:dyDescent="0.3">
      <c r="A165" s="156" t="s">
        <v>20</v>
      </c>
      <c r="B165" s="275" t="s">
        <v>89</v>
      </c>
      <c r="C165" s="276"/>
      <c r="D165" s="25">
        <f>D113</f>
        <v>248.72334737787551</v>
      </c>
      <c r="E165" s="20"/>
      <c r="F165" s="20"/>
      <c r="G165" s="20"/>
    </row>
    <row r="166" spans="1:7" x14ac:dyDescent="0.3">
      <c r="A166" s="156" t="s">
        <v>22</v>
      </c>
      <c r="B166" s="275" t="s">
        <v>90</v>
      </c>
      <c r="C166" s="276"/>
      <c r="D166" s="25">
        <f>D134</f>
        <v>319.28543087751029</v>
      </c>
      <c r="E166" s="20"/>
      <c r="F166" s="20"/>
      <c r="G166" s="20"/>
    </row>
    <row r="167" spans="1:7" x14ac:dyDescent="0.3">
      <c r="A167" s="156" t="s">
        <v>25</v>
      </c>
      <c r="B167" s="275" t="s">
        <v>91</v>
      </c>
      <c r="C167" s="276"/>
      <c r="D167" s="25">
        <f>D143</f>
        <v>108.73072222222221</v>
      </c>
      <c r="E167" s="20"/>
      <c r="F167" s="20"/>
      <c r="G167" s="20"/>
    </row>
    <row r="168" spans="1:7" x14ac:dyDescent="0.3">
      <c r="A168" s="321" t="s">
        <v>92</v>
      </c>
      <c r="B168" s="322"/>
      <c r="C168" s="323"/>
      <c r="D168" s="25">
        <f>SUM(D163:D167)</f>
        <v>5136.7016214605628</v>
      </c>
      <c r="E168" s="20"/>
      <c r="F168" s="20"/>
      <c r="G168" s="20"/>
    </row>
    <row r="169" spans="1:7" x14ac:dyDescent="0.3">
      <c r="A169" s="156" t="s">
        <v>93</v>
      </c>
      <c r="B169" s="275" t="s">
        <v>94</v>
      </c>
      <c r="C169" s="276"/>
      <c r="D169" s="25">
        <f>D159</f>
        <v>971.40812950699228</v>
      </c>
      <c r="E169" s="20"/>
      <c r="F169" s="20"/>
      <c r="G169" s="20"/>
    </row>
    <row r="170" spans="1:7" x14ac:dyDescent="0.3">
      <c r="A170" s="280" t="s">
        <v>95</v>
      </c>
      <c r="B170" s="282"/>
      <c r="C170" s="281"/>
      <c r="D170" s="124">
        <f xml:space="preserve"> D168+D169</f>
        <v>6108.1097509675546</v>
      </c>
      <c r="E170" s="20"/>
      <c r="F170" s="20"/>
      <c r="G170" s="20"/>
    </row>
    <row r="171" spans="1:7" x14ac:dyDescent="0.3">
      <c r="A171" s="20"/>
      <c r="B171" s="20"/>
      <c r="C171" s="20"/>
      <c r="D171" s="20"/>
      <c r="E171" s="20"/>
      <c r="F171" s="20"/>
      <c r="G171" s="20"/>
    </row>
    <row r="172" spans="1:7" x14ac:dyDescent="0.3">
      <c r="A172" s="324" t="s">
        <v>3</v>
      </c>
      <c r="B172" s="325"/>
      <c r="C172" s="326"/>
      <c r="D172" s="79" t="s">
        <v>2</v>
      </c>
      <c r="E172" s="20"/>
      <c r="F172" s="20"/>
      <c r="G172" s="20"/>
    </row>
    <row r="173" spans="1:7" x14ac:dyDescent="0.3">
      <c r="A173" s="327" t="s">
        <v>113</v>
      </c>
      <c r="B173" s="328"/>
      <c r="C173" s="329"/>
      <c r="D173" s="80">
        <f>C17</f>
        <v>2</v>
      </c>
      <c r="E173" s="20"/>
      <c r="F173" s="20"/>
      <c r="G173" s="20"/>
    </row>
    <row r="174" spans="1:7" x14ac:dyDescent="0.3">
      <c r="A174" s="327" t="s">
        <v>0</v>
      </c>
      <c r="B174" s="328"/>
      <c r="C174" s="329"/>
      <c r="D174" s="90">
        <f>D173*D170</f>
        <v>12216.219501935109</v>
      </c>
      <c r="E174" s="20"/>
      <c r="F174" s="20"/>
      <c r="G174" s="20"/>
    </row>
    <row r="175" spans="1:7" x14ac:dyDescent="0.3">
      <c r="A175" s="20"/>
      <c r="B175" s="20"/>
      <c r="C175" s="20"/>
      <c r="D175" s="20"/>
      <c r="E175" s="20"/>
      <c r="F175" s="20"/>
      <c r="G175" s="20"/>
    </row>
    <row r="176" spans="1:7" x14ac:dyDescent="0.3">
      <c r="A176" s="20"/>
      <c r="B176" s="20"/>
      <c r="C176" s="20"/>
      <c r="D176" s="20"/>
      <c r="E176" s="20"/>
      <c r="F176" s="20"/>
      <c r="G176" s="20"/>
    </row>
  </sheetData>
  <mergeCells count="96">
    <mergeCell ref="C10:D10"/>
    <mergeCell ref="A1:D1"/>
    <mergeCell ref="A2:B2"/>
    <mergeCell ref="C2:D2"/>
    <mergeCell ref="A3:B3"/>
    <mergeCell ref="C3:D3"/>
    <mergeCell ref="A4:D4"/>
    <mergeCell ref="A5:D5"/>
    <mergeCell ref="C6:D6"/>
    <mergeCell ref="C7:D7"/>
    <mergeCell ref="C8:D8"/>
    <mergeCell ref="C9:D9"/>
    <mergeCell ref="B22:C22"/>
    <mergeCell ref="C11:D11"/>
    <mergeCell ref="C12:D12"/>
    <mergeCell ref="A13:D13"/>
    <mergeCell ref="A14:D14"/>
    <mergeCell ref="A15:D15"/>
    <mergeCell ref="C16:D16"/>
    <mergeCell ref="C17:D17"/>
    <mergeCell ref="C18:D18"/>
    <mergeCell ref="A19:D19"/>
    <mergeCell ref="B20:C20"/>
    <mergeCell ref="B21:C21"/>
    <mergeCell ref="A54:D54"/>
    <mergeCell ref="A23:D23"/>
    <mergeCell ref="A24:D24"/>
    <mergeCell ref="A25:D25"/>
    <mergeCell ref="B26:C26"/>
    <mergeCell ref="A34:C34"/>
    <mergeCell ref="A35:D35"/>
    <mergeCell ref="A36:D36"/>
    <mergeCell ref="A37:D37"/>
    <mergeCell ref="A42:B42"/>
    <mergeCell ref="A43:D43"/>
    <mergeCell ref="A53:B53"/>
    <mergeCell ref="A104:B104"/>
    <mergeCell ref="A64:C64"/>
    <mergeCell ref="A65:D65"/>
    <mergeCell ref="A66:B66"/>
    <mergeCell ref="A70:C70"/>
    <mergeCell ref="A71:D71"/>
    <mergeCell ref="A72:D72"/>
    <mergeCell ref="A73:D73"/>
    <mergeCell ref="A86:B86"/>
    <mergeCell ref="A87:D87"/>
    <mergeCell ref="A98:B98"/>
    <mergeCell ref="A99:D99"/>
    <mergeCell ref="A129:B129"/>
    <mergeCell ref="A105:D105"/>
    <mergeCell ref="A106:B106"/>
    <mergeCell ref="A109:C109"/>
    <mergeCell ref="A110:B110"/>
    <mergeCell ref="A111:B111"/>
    <mergeCell ref="A113:B113"/>
    <mergeCell ref="A114:D114"/>
    <mergeCell ref="A115:D115"/>
    <mergeCell ref="A116:D116"/>
    <mergeCell ref="A120:B120"/>
    <mergeCell ref="A121:D121"/>
    <mergeCell ref="A143:C143"/>
    <mergeCell ref="A130:D130"/>
    <mergeCell ref="A131:B131"/>
    <mergeCell ref="A134:C134"/>
    <mergeCell ref="A135:D135"/>
    <mergeCell ref="A136:D136"/>
    <mergeCell ref="A137:D137"/>
    <mergeCell ref="B138:C138"/>
    <mergeCell ref="B139:C139"/>
    <mergeCell ref="B140:C140"/>
    <mergeCell ref="B141:C141"/>
    <mergeCell ref="B142:C142"/>
    <mergeCell ref="A161:C161"/>
    <mergeCell ref="A144:D144"/>
    <mergeCell ref="A145:C145"/>
    <mergeCell ref="A146:D146"/>
    <mergeCell ref="A147:D147"/>
    <mergeCell ref="A148:D148"/>
    <mergeCell ref="A151:C151"/>
    <mergeCell ref="A153:C153"/>
    <mergeCell ref="B154:D154"/>
    <mergeCell ref="A158:B158"/>
    <mergeCell ref="A159:B159"/>
    <mergeCell ref="A160:D160"/>
    <mergeCell ref="A174:C174"/>
    <mergeCell ref="A162:D162"/>
    <mergeCell ref="B163:C163"/>
    <mergeCell ref="B164:C164"/>
    <mergeCell ref="B165:C165"/>
    <mergeCell ref="B166:C166"/>
    <mergeCell ref="B167:C167"/>
    <mergeCell ref="A168:C168"/>
    <mergeCell ref="B169:C169"/>
    <mergeCell ref="A170:C170"/>
    <mergeCell ref="A172:C172"/>
    <mergeCell ref="A173:C17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49968E-1BDE-4DD4-91B4-C699BD2CDCE6}">
  <sheetPr codeName="Planilha6"/>
  <dimension ref="A1:WVO176"/>
  <sheetViews>
    <sheetView zoomScale="85" zoomScaleNormal="85" workbookViewId="0">
      <selection activeCell="A13" sqref="A13:D13"/>
    </sheetView>
  </sheetViews>
  <sheetFormatPr defaultColWidth="0" defaultRowHeight="15.75" customHeight="1" zeroHeight="1" outlineLevelRow="2" x14ac:dyDescent="0.3"/>
  <cols>
    <col min="1" max="1" width="18.7109375" style="21" customWidth="1"/>
    <col min="2" max="2" width="72" style="21" customWidth="1"/>
    <col min="3" max="3" width="22.85546875" style="21" customWidth="1"/>
    <col min="4" max="4" width="29.85546875" style="21" customWidth="1"/>
    <col min="5" max="5" width="11.85546875" style="81" customWidth="1"/>
    <col min="6" max="6" width="9.140625" style="81" customWidth="1"/>
    <col min="7" max="254" width="9.140625" style="81" hidden="1"/>
    <col min="255" max="255" width="18.7109375" style="81" hidden="1"/>
    <col min="256" max="256" width="72" style="81" hidden="1"/>
    <col min="257" max="257" width="22.85546875" style="81" hidden="1"/>
    <col min="258" max="258" width="29.85546875" style="81" hidden="1"/>
    <col min="259" max="260" width="9.140625" style="81" hidden="1"/>
    <col min="261" max="261" width="15.42578125" style="81" hidden="1"/>
    <col min="262" max="510" width="9.140625" style="81" hidden="1"/>
    <col min="511" max="511" width="18.7109375" style="81" hidden="1"/>
    <col min="512" max="512" width="72" style="81" hidden="1"/>
    <col min="513" max="513" width="22.85546875" style="81" hidden="1"/>
    <col min="514" max="514" width="29.85546875" style="81" hidden="1"/>
    <col min="515" max="516" width="9.140625" style="81" hidden="1"/>
    <col min="517" max="517" width="15.42578125" style="81" hidden="1"/>
    <col min="518" max="766" width="9.140625" style="81" hidden="1"/>
    <col min="767" max="767" width="18.7109375" style="81" hidden="1"/>
    <col min="768" max="768" width="72" style="81" hidden="1"/>
    <col min="769" max="769" width="22.85546875" style="81" hidden="1"/>
    <col min="770" max="770" width="29.85546875" style="81" hidden="1"/>
    <col min="771" max="772" width="9.140625" style="81" hidden="1"/>
    <col min="773" max="773" width="15.42578125" style="81" hidden="1"/>
    <col min="774" max="1022" width="9.140625" style="81" hidden="1"/>
    <col min="1023" max="1023" width="18.7109375" style="81" hidden="1"/>
    <col min="1024" max="1024" width="72" style="81" hidden="1"/>
    <col min="1025" max="1025" width="22.85546875" style="81" hidden="1"/>
    <col min="1026" max="1026" width="29.85546875" style="81" hidden="1"/>
    <col min="1027" max="1028" width="9.140625" style="81" hidden="1"/>
    <col min="1029" max="1029" width="15.42578125" style="81" hidden="1"/>
    <col min="1030" max="1278" width="9.140625" style="81" hidden="1"/>
    <col min="1279" max="1279" width="18.7109375" style="81" hidden="1"/>
    <col min="1280" max="1280" width="72" style="81" hidden="1"/>
    <col min="1281" max="1281" width="22.85546875" style="81" hidden="1"/>
    <col min="1282" max="1282" width="29.85546875" style="81" hidden="1"/>
    <col min="1283" max="1284" width="9.140625" style="81" hidden="1"/>
    <col min="1285" max="1285" width="15.42578125" style="81" hidden="1"/>
    <col min="1286" max="1534" width="9.140625" style="81" hidden="1"/>
    <col min="1535" max="1535" width="18.7109375" style="81" hidden="1"/>
    <col min="1536" max="1536" width="72" style="81" hidden="1"/>
    <col min="1537" max="1537" width="22.85546875" style="81" hidden="1"/>
    <col min="1538" max="1538" width="29.85546875" style="81" hidden="1"/>
    <col min="1539" max="1540" width="9.140625" style="81" hidden="1"/>
    <col min="1541" max="1541" width="15.42578125" style="81" hidden="1"/>
    <col min="1542" max="1790" width="9.140625" style="81" hidden="1"/>
    <col min="1791" max="1791" width="18.7109375" style="81" hidden="1"/>
    <col min="1792" max="1792" width="72" style="81" hidden="1"/>
    <col min="1793" max="1793" width="22.85546875" style="81" hidden="1"/>
    <col min="1794" max="1794" width="29.85546875" style="81" hidden="1"/>
    <col min="1795" max="1796" width="9.140625" style="81" hidden="1"/>
    <col min="1797" max="1797" width="15.42578125" style="81" hidden="1"/>
    <col min="1798" max="2046" width="9.140625" style="81" hidden="1"/>
    <col min="2047" max="2047" width="18.7109375" style="81" hidden="1"/>
    <col min="2048" max="2048" width="72" style="81" hidden="1"/>
    <col min="2049" max="2049" width="22.85546875" style="81" hidden="1"/>
    <col min="2050" max="2050" width="29.85546875" style="81" hidden="1"/>
    <col min="2051" max="2052" width="9.140625" style="81" hidden="1"/>
    <col min="2053" max="2053" width="15.42578125" style="81" hidden="1"/>
    <col min="2054" max="2302" width="9.140625" style="81" hidden="1"/>
    <col min="2303" max="2303" width="18.7109375" style="81" hidden="1"/>
    <col min="2304" max="2304" width="72" style="81" hidden="1"/>
    <col min="2305" max="2305" width="22.85546875" style="81" hidden="1"/>
    <col min="2306" max="2306" width="29.85546875" style="81" hidden="1"/>
    <col min="2307" max="2308" width="9.140625" style="81" hidden="1"/>
    <col min="2309" max="2309" width="15.42578125" style="81" hidden="1"/>
    <col min="2310" max="2558" width="9.140625" style="81" hidden="1"/>
    <col min="2559" max="2559" width="18.7109375" style="81" hidden="1"/>
    <col min="2560" max="2560" width="72" style="81" hidden="1"/>
    <col min="2561" max="2561" width="22.85546875" style="81" hidden="1"/>
    <col min="2562" max="2562" width="29.85546875" style="81" hidden="1"/>
    <col min="2563" max="2564" width="9.140625" style="81" hidden="1"/>
    <col min="2565" max="2565" width="15.42578125" style="81" hidden="1"/>
    <col min="2566" max="2814" width="9.140625" style="81" hidden="1"/>
    <col min="2815" max="2815" width="18.7109375" style="81" hidden="1"/>
    <col min="2816" max="2816" width="72" style="81" hidden="1"/>
    <col min="2817" max="2817" width="22.85546875" style="81" hidden="1"/>
    <col min="2818" max="2818" width="29.85546875" style="81" hidden="1"/>
    <col min="2819" max="2820" width="9.140625" style="81" hidden="1"/>
    <col min="2821" max="2821" width="15.42578125" style="81" hidden="1"/>
    <col min="2822" max="3070" width="9.140625" style="81" hidden="1"/>
    <col min="3071" max="3071" width="18.7109375" style="81" hidden="1"/>
    <col min="3072" max="3072" width="72" style="81" hidden="1"/>
    <col min="3073" max="3073" width="22.85546875" style="81" hidden="1"/>
    <col min="3074" max="3074" width="29.85546875" style="81" hidden="1"/>
    <col min="3075" max="3076" width="9.140625" style="81" hidden="1"/>
    <col min="3077" max="3077" width="15.42578125" style="81" hidden="1"/>
    <col min="3078" max="3326" width="9.140625" style="81" hidden="1"/>
    <col min="3327" max="3327" width="18.7109375" style="81" hidden="1"/>
    <col min="3328" max="3328" width="72" style="81" hidden="1"/>
    <col min="3329" max="3329" width="22.85546875" style="81" hidden="1"/>
    <col min="3330" max="3330" width="29.85546875" style="81" hidden="1"/>
    <col min="3331" max="3332" width="9.140625" style="81" hidden="1"/>
    <col min="3333" max="3333" width="15.42578125" style="81" hidden="1"/>
    <col min="3334" max="3582" width="9.140625" style="81" hidden="1"/>
    <col min="3583" max="3583" width="18.7109375" style="81" hidden="1"/>
    <col min="3584" max="3584" width="72" style="81" hidden="1"/>
    <col min="3585" max="3585" width="22.85546875" style="81" hidden="1"/>
    <col min="3586" max="3586" width="29.85546875" style="81" hidden="1"/>
    <col min="3587" max="3588" width="9.140625" style="81" hidden="1"/>
    <col min="3589" max="3589" width="15.42578125" style="81" hidden="1"/>
    <col min="3590" max="3838" width="9.140625" style="81" hidden="1"/>
    <col min="3839" max="3839" width="18.7109375" style="81" hidden="1"/>
    <col min="3840" max="3840" width="72" style="81" hidden="1"/>
    <col min="3841" max="3841" width="22.85546875" style="81" hidden="1"/>
    <col min="3842" max="3842" width="29.85546875" style="81" hidden="1"/>
    <col min="3843" max="3844" width="9.140625" style="81" hidden="1"/>
    <col min="3845" max="3845" width="15.42578125" style="81" hidden="1"/>
    <col min="3846" max="4094" width="9.140625" style="81" hidden="1"/>
    <col min="4095" max="4095" width="18.7109375" style="81" hidden="1"/>
    <col min="4096" max="4096" width="72" style="81" hidden="1"/>
    <col min="4097" max="4097" width="22.85546875" style="81" hidden="1"/>
    <col min="4098" max="4098" width="29.85546875" style="81" hidden="1"/>
    <col min="4099" max="4100" width="9.140625" style="81" hidden="1"/>
    <col min="4101" max="4101" width="15.42578125" style="81" hidden="1"/>
    <col min="4102" max="4350" width="9.140625" style="81" hidden="1"/>
    <col min="4351" max="4351" width="18.7109375" style="81" hidden="1"/>
    <col min="4352" max="4352" width="72" style="81" hidden="1"/>
    <col min="4353" max="4353" width="22.85546875" style="81" hidden="1"/>
    <col min="4354" max="4354" width="29.85546875" style="81" hidden="1"/>
    <col min="4355" max="4356" width="9.140625" style="81" hidden="1"/>
    <col min="4357" max="4357" width="15.42578125" style="81" hidden="1"/>
    <col min="4358" max="4606" width="9.140625" style="81" hidden="1"/>
    <col min="4607" max="4607" width="18.7109375" style="81" hidden="1"/>
    <col min="4608" max="4608" width="72" style="81" hidden="1"/>
    <col min="4609" max="4609" width="22.85546875" style="81" hidden="1"/>
    <col min="4610" max="4610" width="29.85546875" style="81" hidden="1"/>
    <col min="4611" max="4612" width="9.140625" style="81" hidden="1"/>
    <col min="4613" max="4613" width="15.42578125" style="81" hidden="1"/>
    <col min="4614" max="4862" width="9.140625" style="81" hidden="1"/>
    <col min="4863" max="4863" width="18.7109375" style="81" hidden="1"/>
    <col min="4864" max="4864" width="72" style="81" hidden="1"/>
    <col min="4865" max="4865" width="22.85546875" style="81" hidden="1"/>
    <col min="4866" max="4866" width="29.85546875" style="81" hidden="1"/>
    <col min="4867" max="4868" width="9.140625" style="81" hidden="1"/>
    <col min="4869" max="4869" width="15.42578125" style="81" hidden="1"/>
    <col min="4870" max="5118" width="9.140625" style="81" hidden="1"/>
    <col min="5119" max="5119" width="18.7109375" style="81" hidden="1"/>
    <col min="5120" max="5120" width="72" style="81" hidden="1"/>
    <col min="5121" max="5121" width="22.85546875" style="81" hidden="1"/>
    <col min="5122" max="5122" width="29.85546875" style="81" hidden="1"/>
    <col min="5123" max="5124" width="9.140625" style="81" hidden="1"/>
    <col min="5125" max="5125" width="15.42578125" style="81" hidden="1"/>
    <col min="5126" max="5374" width="9.140625" style="81" hidden="1"/>
    <col min="5375" max="5375" width="18.7109375" style="81" hidden="1"/>
    <col min="5376" max="5376" width="72" style="81" hidden="1"/>
    <col min="5377" max="5377" width="22.85546875" style="81" hidden="1"/>
    <col min="5378" max="5378" width="29.85546875" style="81" hidden="1"/>
    <col min="5379" max="5380" width="9.140625" style="81" hidden="1"/>
    <col min="5381" max="5381" width="15.42578125" style="81" hidden="1"/>
    <col min="5382" max="5630" width="9.140625" style="81" hidden="1"/>
    <col min="5631" max="5631" width="18.7109375" style="81" hidden="1"/>
    <col min="5632" max="5632" width="72" style="81" hidden="1"/>
    <col min="5633" max="5633" width="22.85546875" style="81" hidden="1"/>
    <col min="5634" max="5634" width="29.85546875" style="81" hidden="1"/>
    <col min="5635" max="5636" width="9.140625" style="81" hidden="1"/>
    <col min="5637" max="5637" width="15.42578125" style="81" hidden="1"/>
    <col min="5638" max="5886" width="9.140625" style="81" hidden="1"/>
    <col min="5887" max="5887" width="18.7109375" style="81" hidden="1"/>
    <col min="5888" max="5888" width="72" style="81" hidden="1"/>
    <col min="5889" max="5889" width="22.85546875" style="81" hidden="1"/>
    <col min="5890" max="5890" width="29.85546875" style="81" hidden="1"/>
    <col min="5891" max="5892" width="9.140625" style="81" hidden="1"/>
    <col min="5893" max="5893" width="15.42578125" style="81" hidden="1"/>
    <col min="5894" max="6142" width="9.140625" style="81" hidden="1"/>
    <col min="6143" max="6143" width="18.7109375" style="81" hidden="1"/>
    <col min="6144" max="6144" width="72" style="81" hidden="1"/>
    <col min="6145" max="6145" width="22.85546875" style="81" hidden="1"/>
    <col min="6146" max="6146" width="29.85546875" style="81" hidden="1"/>
    <col min="6147" max="6148" width="9.140625" style="81" hidden="1"/>
    <col min="6149" max="6149" width="15.42578125" style="81" hidden="1"/>
    <col min="6150" max="6398" width="9.140625" style="81" hidden="1"/>
    <col min="6399" max="6399" width="18.7109375" style="81" hidden="1"/>
    <col min="6400" max="6400" width="72" style="81" hidden="1"/>
    <col min="6401" max="6401" width="22.85546875" style="81" hidden="1"/>
    <col min="6402" max="6402" width="29.85546875" style="81" hidden="1"/>
    <col min="6403" max="6404" width="9.140625" style="81" hidden="1"/>
    <col min="6405" max="6405" width="15.42578125" style="81" hidden="1"/>
    <col min="6406" max="6654" width="9.140625" style="81" hidden="1"/>
    <col min="6655" max="6655" width="18.7109375" style="81" hidden="1"/>
    <col min="6656" max="6656" width="72" style="81" hidden="1"/>
    <col min="6657" max="6657" width="22.85546875" style="81" hidden="1"/>
    <col min="6658" max="6658" width="29.85546875" style="81" hidden="1"/>
    <col min="6659" max="6660" width="9.140625" style="81" hidden="1"/>
    <col min="6661" max="6661" width="15.42578125" style="81" hidden="1"/>
    <col min="6662" max="6910" width="9.140625" style="81" hidden="1"/>
    <col min="6911" max="6911" width="18.7109375" style="81" hidden="1"/>
    <col min="6912" max="6912" width="72" style="81" hidden="1"/>
    <col min="6913" max="6913" width="22.85546875" style="81" hidden="1"/>
    <col min="6914" max="6914" width="29.85546875" style="81" hidden="1"/>
    <col min="6915" max="6916" width="9.140625" style="81" hidden="1"/>
    <col min="6917" max="6917" width="15.42578125" style="81" hidden="1"/>
    <col min="6918" max="7166" width="9.140625" style="81" hidden="1"/>
    <col min="7167" max="7167" width="18.7109375" style="81" hidden="1"/>
    <col min="7168" max="7168" width="72" style="81" hidden="1"/>
    <col min="7169" max="7169" width="22.85546875" style="81" hidden="1"/>
    <col min="7170" max="7170" width="29.85546875" style="81" hidden="1"/>
    <col min="7171" max="7172" width="9.140625" style="81" hidden="1"/>
    <col min="7173" max="7173" width="15.42578125" style="81" hidden="1"/>
    <col min="7174" max="7422" width="9.140625" style="81" hidden="1"/>
    <col min="7423" max="7423" width="18.7109375" style="81" hidden="1"/>
    <col min="7424" max="7424" width="72" style="81" hidden="1"/>
    <col min="7425" max="7425" width="22.85546875" style="81" hidden="1"/>
    <col min="7426" max="7426" width="29.85546875" style="81" hidden="1"/>
    <col min="7427" max="7428" width="9.140625" style="81" hidden="1"/>
    <col min="7429" max="7429" width="15.42578125" style="81" hidden="1"/>
    <col min="7430" max="7678" width="9.140625" style="81" hidden="1"/>
    <col min="7679" max="7679" width="18.7109375" style="81" hidden="1"/>
    <col min="7680" max="7680" width="72" style="81" hidden="1"/>
    <col min="7681" max="7681" width="22.85546875" style="81" hidden="1"/>
    <col min="7682" max="7682" width="29.85546875" style="81" hidden="1"/>
    <col min="7683" max="7684" width="9.140625" style="81" hidden="1"/>
    <col min="7685" max="7685" width="15.42578125" style="81" hidden="1"/>
    <col min="7686" max="7934" width="9.140625" style="81" hidden="1"/>
    <col min="7935" max="7935" width="18.7109375" style="81" hidden="1"/>
    <col min="7936" max="7936" width="72" style="81" hidden="1"/>
    <col min="7937" max="7937" width="22.85546875" style="81" hidden="1"/>
    <col min="7938" max="7938" width="29.85546875" style="81" hidden="1"/>
    <col min="7939" max="7940" width="9.140625" style="81" hidden="1"/>
    <col min="7941" max="7941" width="15.42578125" style="81" hidden="1"/>
    <col min="7942" max="8190" width="9.140625" style="81" hidden="1"/>
    <col min="8191" max="8191" width="18.7109375" style="81" hidden="1"/>
    <col min="8192" max="8192" width="72" style="81" hidden="1"/>
    <col min="8193" max="8193" width="22.85546875" style="81" hidden="1"/>
    <col min="8194" max="8194" width="29.85546875" style="81" hidden="1"/>
    <col min="8195" max="8196" width="9.140625" style="81" hidden="1"/>
    <col min="8197" max="8197" width="15.42578125" style="81" hidden="1"/>
    <col min="8198" max="8446" width="9.140625" style="81" hidden="1"/>
    <col min="8447" max="8447" width="18.7109375" style="81" hidden="1"/>
    <col min="8448" max="8448" width="72" style="81" hidden="1"/>
    <col min="8449" max="8449" width="22.85546875" style="81" hidden="1"/>
    <col min="8450" max="8450" width="29.85546875" style="81" hidden="1"/>
    <col min="8451" max="8452" width="9.140625" style="81" hidden="1"/>
    <col min="8453" max="8453" width="15.42578125" style="81" hidden="1"/>
    <col min="8454" max="8702" width="9.140625" style="81" hidden="1"/>
    <col min="8703" max="8703" width="18.7109375" style="81" hidden="1"/>
    <col min="8704" max="8704" width="72" style="81" hidden="1"/>
    <col min="8705" max="8705" width="22.85546875" style="81" hidden="1"/>
    <col min="8706" max="8706" width="29.85546875" style="81" hidden="1"/>
    <col min="8707" max="8708" width="9.140625" style="81" hidden="1"/>
    <col min="8709" max="8709" width="15.42578125" style="81" hidden="1"/>
    <col min="8710" max="8958" width="9.140625" style="81" hidden="1"/>
    <col min="8959" max="8959" width="18.7109375" style="81" hidden="1"/>
    <col min="8960" max="8960" width="72" style="81" hidden="1"/>
    <col min="8961" max="8961" width="22.85546875" style="81" hidden="1"/>
    <col min="8962" max="8962" width="29.85546875" style="81" hidden="1"/>
    <col min="8963" max="8964" width="9.140625" style="81" hidden="1"/>
    <col min="8965" max="8965" width="15.42578125" style="81" hidden="1"/>
    <col min="8966" max="9214" width="9.140625" style="81" hidden="1"/>
    <col min="9215" max="9215" width="18.7109375" style="81" hidden="1"/>
    <col min="9216" max="9216" width="72" style="81" hidden="1"/>
    <col min="9217" max="9217" width="22.85546875" style="81" hidden="1"/>
    <col min="9218" max="9218" width="29.85546875" style="81" hidden="1"/>
    <col min="9219" max="9220" width="9.140625" style="81" hidden="1"/>
    <col min="9221" max="9221" width="15.42578125" style="81" hidden="1"/>
    <col min="9222" max="9470" width="9.140625" style="81" hidden="1"/>
    <col min="9471" max="9471" width="18.7109375" style="81" hidden="1"/>
    <col min="9472" max="9472" width="72" style="81" hidden="1"/>
    <col min="9473" max="9473" width="22.85546875" style="81" hidden="1"/>
    <col min="9474" max="9474" width="29.85546875" style="81" hidden="1"/>
    <col min="9475" max="9476" width="9.140625" style="81" hidden="1"/>
    <col min="9477" max="9477" width="15.42578125" style="81" hidden="1"/>
    <col min="9478" max="9726" width="9.140625" style="81" hidden="1"/>
    <col min="9727" max="9727" width="18.7109375" style="81" hidden="1"/>
    <col min="9728" max="9728" width="72" style="81" hidden="1"/>
    <col min="9729" max="9729" width="22.85546875" style="81" hidden="1"/>
    <col min="9730" max="9730" width="29.85546875" style="81" hidden="1"/>
    <col min="9731" max="9732" width="9.140625" style="81" hidden="1"/>
    <col min="9733" max="9733" width="15.42578125" style="81" hidden="1"/>
    <col min="9734" max="9982" width="9.140625" style="81" hidden="1"/>
    <col min="9983" max="9983" width="18.7109375" style="81" hidden="1"/>
    <col min="9984" max="9984" width="72" style="81" hidden="1"/>
    <col min="9985" max="9985" width="22.85546875" style="81" hidden="1"/>
    <col min="9986" max="9986" width="29.85546875" style="81" hidden="1"/>
    <col min="9987" max="9988" width="9.140625" style="81" hidden="1"/>
    <col min="9989" max="9989" width="15.42578125" style="81" hidden="1"/>
    <col min="9990" max="10238" width="9.140625" style="81" hidden="1"/>
    <col min="10239" max="10239" width="18.7109375" style="81" hidden="1"/>
    <col min="10240" max="10240" width="72" style="81" hidden="1"/>
    <col min="10241" max="10241" width="22.85546875" style="81" hidden="1"/>
    <col min="10242" max="10242" width="29.85546875" style="81" hidden="1"/>
    <col min="10243" max="10244" width="9.140625" style="81" hidden="1"/>
    <col min="10245" max="10245" width="15.42578125" style="81" hidden="1"/>
    <col min="10246" max="10494" width="9.140625" style="81" hidden="1"/>
    <col min="10495" max="10495" width="18.7109375" style="81" hidden="1"/>
    <col min="10496" max="10496" width="72" style="81" hidden="1"/>
    <col min="10497" max="10497" width="22.85546875" style="81" hidden="1"/>
    <col min="10498" max="10498" width="29.85546875" style="81" hidden="1"/>
    <col min="10499" max="10500" width="9.140625" style="81" hidden="1"/>
    <col min="10501" max="10501" width="15.42578125" style="81" hidden="1"/>
    <col min="10502" max="10750" width="9.140625" style="81" hidden="1"/>
    <col min="10751" max="10751" width="18.7109375" style="81" hidden="1"/>
    <col min="10752" max="10752" width="72" style="81" hidden="1"/>
    <col min="10753" max="10753" width="22.85546875" style="81" hidden="1"/>
    <col min="10754" max="10754" width="29.85546875" style="81" hidden="1"/>
    <col min="10755" max="10756" width="9.140625" style="81" hidden="1"/>
    <col min="10757" max="10757" width="15.42578125" style="81" hidden="1"/>
    <col min="10758" max="11006" width="9.140625" style="81" hidden="1"/>
    <col min="11007" max="11007" width="18.7109375" style="81" hidden="1"/>
    <col min="11008" max="11008" width="72" style="81" hidden="1"/>
    <col min="11009" max="11009" width="22.85546875" style="81" hidden="1"/>
    <col min="11010" max="11010" width="29.85546875" style="81" hidden="1"/>
    <col min="11011" max="11012" width="9.140625" style="81" hidden="1"/>
    <col min="11013" max="11013" width="15.42578125" style="81" hidden="1"/>
    <col min="11014" max="11262" width="9.140625" style="81" hidden="1"/>
    <col min="11263" max="11263" width="18.7109375" style="81" hidden="1"/>
    <col min="11264" max="11264" width="72" style="81" hidden="1"/>
    <col min="11265" max="11265" width="22.85546875" style="81" hidden="1"/>
    <col min="11266" max="11266" width="29.85546875" style="81" hidden="1"/>
    <col min="11267" max="11268" width="9.140625" style="81" hidden="1"/>
    <col min="11269" max="11269" width="15.42578125" style="81" hidden="1"/>
    <col min="11270" max="11518" width="9.140625" style="81" hidden="1"/>
    <col min="11519" max="11519" width="18.7109375" style="81" hidden="1"/>
    <col min="11520" max="11520" width="72" style="81" hidden="1"/>
    <col min="11521" max="11521" width="22.85546875" style="81" hidden="1"/>
    <col min="11522" max="11522" width="29.85546875" style="81" hidden="1"/>
    <col min="11523" max="11524" width="9.140625" style="81" hidden="1"/>
    <col min="11525" max="11525" width="15.42578125" style="81" hidden="1"/>
    <col min="11526" max="11774" width="9.140625" style="81" hidden="1"/>
    <col min="11775" max="11775" width="18.7109375" style="81" hidden="1"/>
    <col min="11776" max="11776" width="72" style="81" hidden="1"/>
    <col min="11777" max="11777" width="22.85546875" style="81" hidden="1"/>
    <col min="11778" max="11778" width="29.85546875" style="81" hidden="1"/>
    <col min="11779" max="11780" width="9.140625" style="81" hidden="1"/>
    <col min="11781" max="11781" width="15.42578125" style="81" hidden="1"/>
    <col min="11782" max="12030" width="9.140625" style="81" hidden="1"/>
    <col min="12031" max="12031" width="18.7109375" style="81" hidden="1"/>
    <col min="12032" max="12032" width="72" style="81" hidden="1"/>
    <col min="12033" max="12033" width="22.85546875" style="81" hidden="1"/>
    <col min="12034" max="12034" width="29.85546875" style="81" hidden="1"/>
    <col min="12035" max="12036" width="9.140625" style="81" hidden="1"/>
    <col min="12037" max="12037" width="15.42578125" style="81" hidden="1"/>
    <col min="12038" max="12286" width="9.140625" style="81" hidden="1"/>
    <col min="12287" max="12287" width="18.7109375" style="81" hidden="1"/>
    <col min="12288" max="12288" width="72" style="81" hidden="1"/>
    <col min="12289" max="12289" width="22.85546875" style="81" hidden="1"/>
    <col min="12290" max="12290" width="29.85546875" style="81" hidden="1"/>
    <col min="12291" max="12292" width="9.140625" style="81" hidden="1"/>
    <col min="12293" max="12293" width="15.42578125" style="81" hidden="1"/>
    <col min="12294" max="12542" width="9.140625" style="81" hidden="1"/>
    <col min="12543" max="12543" width="18.7109375" style="81" hidden="1"/>
    <col min="12544" max="12544" width="72" style="81" hidden="1"/>
    <col min="12545" max="12545" width="22.85546875" style="81" hidden="1"/>
    <col min="12546" max="12546" width="29.85546875" style="81" hidden="1"/>
    <col min="12547" max="12548" width="9.140625" style="81" hidden="1"/>
    <col min="12549" max="12549" width="15.42578125" style="81" hidden="1"/>
    <col min="12550" max="12798" width="9.140625" style="81" hidden="1"/>
    <col min="12799" max="12799" width="18.7109375" style="81" hidden="1"/>
    <col min="12800" max="12800" width="72" style="81" hidden="1"/>
    <col min="12801" max="12801" width="22.85546875" style="81" hidden="1"/>
    <col min="12802" max="12802" width="29.85546875" style="81" hidden="1"/>
    <col min="12803" max="12804" width="9.140625" style="81" hidden="1"/>
    <col min="12805" max="12805" width="15.42578125" style="81" hidden="1"/>
    <col min="12806" max="13054" width="9.140625" style="81" hidden="1"/>
    <col min="13055" max="13055" width="18.7109375" style="81" hidden="1"/>
    <col min="13056" max="13056" width="72" style="81" hidden="1"/>
    <col min="13057" max="13057" width="22.85546875" style="81" hidden="1"/>
    <col min="13058" max="13058" width="29.85546875" style="81" hidden="1"/>
    <col min="13059" max="13060" width="9.140625" style="81" hidden="1"/>
    <col min="13061" max="13061" width="15.42578125" style="81" hidden="1"/>
    <col min="13062" max="13310" width="9.140625" style="81" hidden="1"/>
    <col min="13311" max="13311" width="18.7109375" style="81" hidden="1"/>
    <col min="13312" max="13312" width="72" style="81" hidden="1"/>
    <col min="13313" max="13313" width="22.85546875" style="81" hidden="1"/>
    <col min="13314" max="13314" width="29.85546875" style="81" hidden="1"/>
    <col min="13315" max="13316" width="9.140625" style="81" hidden="1"/>
    <col min="13317" max="13317" width="15.42578125" style="81" hidden="1"/>
    <col min="13318" max="13566" width="9.140625" style="81" hidden="1"/>
    <col min="13567" max="13567" width="18.7109375" style="81" hidden="1"/>
    <col min="13568" max="13568" width="72" style="81" hidden="1"/>
    <col min="13569" max="13569" width="22.85546875" style="81" hidden="1"/>
    <col min="13570" max="13570" width="29.85546875" style="81" hidden="1"/>
    <col min="13571" max="13572" width="9.140625" style="81" hidden="1"/>
    <col min="13573" max="13573" width="15.42578125" style="81" hidden="1"/>
    <col min="13574" max="13822" width="9.140625" style="81" hidden="1"/>
    <col min="13823" max="13823" width="18.7109375" style="81" hidden="1"/>
    <col min="13824" max="13824" width="72" style="81" hidden="1"/>
    <col min="13825" max="13825" width="22.85546875" style="81" hidden="1"/>
    <col min="13826" max="13826" width="29.85546875" style="81" hidden="1"/>
    <col min="13827" max="13828" width="9.140625" style="81" hidden="1"/>
    <col min="13829" max="13829" width="15.42578125" style="81" hidden="1"/>
    <col min="13830" max="14078" width="9.140625" style="81" hidden="1"/>
    <col min="14079" max="14079" width="18.7109375" style="81" hidden="1"/>
    <col min="14080" max="14080" width="72" style="81" hidden="1"/>
    <col min="14081" max="14081" width="22.85546875" style="81" hidden="1"/>
    <col min="14082" max="14082" width="29.85546875" style="81" hidden="1"/>
    <col min="14083" max="14084" width="9.140625" style="81" hidden="1"/>
    <col min="14085" max="14085" width="15.42578125" style="81" hidden="1"/>
    <col min="14086" max="14334" width="9.140625" style="81" hidden="1"/>
    <col min="14335" max="14335" width="18.7109375" style="81" hidden="1"/>
    <col min="14336" max="14336" width="72" style="81" hidden="1"/>
    <col min="14337" max="14337" width="22.85546875" style="81" hidden="1"/>
    <col min="14338" max="14338" width="29.85546875" style="81" hidden="1"/>
    <col min="14339" max="14340" width="9.140625" style="81" hidden="1"/>
    <col min="14341" max="14341" width="15.42578125" style="81" hidden="1"/>
    <col min="14342" max="14590" width="9.140625" style="81" hidden="1"/>
    <col min="14591" max="14591" width="18.7109375" style="81" hidden="1"/>
    <col min="14592" max="14592" width="72" style="81" hidden="1"/>
    <col min="14593" max="14593" width="22.85546875" style="81" hidden="1"/>
    <col min="14594" max="14594" width="29.85546875" style="81" hidden="1"/>
    <col min="14595" max="14596" width="9.140625" style="81" hidden="1"/>
    <col min="14597" max="14597" width="15.42578125" style="81" hidden="1"/>
    <col min="14598" max="14846" width="9.140625" style="81" hidden="1"/>
    <col min="14847" max="14847" width="18.7109375" style="81" hidden="1"/>
    <col min="14848" max="14848" width="72" style="81" hidden="1"/>
    <col min="14849" max="14849" width="22.85546875" style="81" hidden="1"/>
    <col min="14850" max="14850" width="29.85546875" style="81" hidden="1"/>
    <col min="14851" max="14852" width="9.140625" style="81" hidden="1"/>
    <col min="14853" max="14853" width="15.42578125" style="81" hidden="1"/>
    <col min="14854" max="15102" width="9.140625" style="81" hidden="1"/>
    <col min="15103" max="15103" width="18.7109375" style="81" hidden="1"/>
    <col min="15104" max="15104" width="72" style="81" hidden="1"/>
    <col min="15105" max="15105" width="22.85546875" style="81" hidden="1"/>
    <col min="15106" max="15106" width="29.85546875" style="81" hidden="1"/>
    <col min="15107" max="15108" width="9.140625" style="81" hidden="1"/>
    <col min="15109" max="15109" width="15.42578125" style="81" hidden="1"/>
    <col min="15110" max="15358" width="9.140625" style="81" hidden="1"/>
    <col min="15359" max="15359" width="18.7109375" style="81" hidden="1"/>
    <col min="15360" max="15360" width="72" style="81" hidden="1"/>
    <col min="15361" max="15361" width="22.85546875" style="81" hidden="1"/>
    <col min="15362" max="15362" width="29.85546875" style="81" hidden="1"/>
    <col min="15363" max="15364" width="9.140625" style="81" hidden="1"/>
    <col min="15365" max="15365" width="15.42578125" style="81" hidden="1"/>
    <col min="15366" max="15614" width="9.140625" style="81" hidden="1"/>
    <col min="15615" max="15615" width="18.7109375" style="81" hidden="1"/>
    <col min="15616" max="15616" width="72" style="81" hidden="1"/>
    <col min="15617" max="15617" width="22.85546875" style="81" hidden="1"/>
    <col min="15618" max="15618" width="29.85546875" style="81" hidden="1"/>
    <col min="15619" max="15620" width="9.140625" style="81" hidden="1"/>
    <col min="15621" max="15621" width="15.42578125" style="81" hidden="1"/>
    <col min="15622" max="15870" width="9.140625" style="81" hidden="1"/>
    <col min="15871" max="15871" width="18.7109375" style="81" hidden="1"/>
    <col min="15872" max="15872" width="72" style="81" hidden="1"/>
    <col min="15873" max="15873" width="22.85546875" style="81" hidden="1"/>
    <col min="15874" max="15874" width="29.85546875" style="81" hidden="1"/>
    <col min="15875" max="15876" width="9.140625" style="81" hidden="1"/>
    <col min="15877" max="15877" width="15.42578125" style="81" hidden="1"/>
    <col min="15878" max="16126" width="9.140625" style="81" hidden="1"/>
    <col min="16127" max="16127" width="18.7109375" style="81" hidden="1"/>
    <col min="16128" max="16128" width="72" style="81" hidden="1"/>
    <col min="16129" max="16129" width="22.85546875" style="81" hidden="1"/>
    <col min="16130" max="16130" width="29.85546875" style="81" hidden="1"/>
    <col min="16131" max="16132" width="9.140625" style="81" hidden="1"/>
    <col min="16133" max="16135" width="15.42578125" style="81" hidden="1"/>
    <col min="16136" max="16384" width="9.140625" style="81" hidden="1"/>
  </cols>
  <sheetData>
    <row r="1" spans="1:7" x14ac:dyDescent="0.3">
      <c r="A1" s="251" t="s">
        <v>9</v>
      </c>
      <c r="B1" s="251"/>
      <c r="C1" s="251"/>
      <c r="D1" s="251"/>
      <c r="E1" s="20"/>
      <c r="F1" s="20"/>
      <c r="G1" s="20"/>
    </row>
    <row r="2" spans="1:7" x14ac:dyDescent="0.3">
      <c r="A2" s="252" t="s">
        <v>15</v>
      </c>
      <c r="B2" s="252"/>
      <c r="C2" s="253" t="s">
        <v>221</v>
      </c>
      <c r="D2" s="254"/>
      <c r="E2" s="20"/>
      <c r="F2" s="20"/>
      <c r="G2" s="20"/>
    </row>
    <row r="3" spans="1:7" x14ac:dyDescent="0.3">
      <c r="A3" s="252" t="s">
        <v>16</v>
      </c>
      <c r="B3" s="252"/>
      <c r="C3" s="253" t="s">
        <v>198</v>
      </c>
      <c r="D3" s="254"/>
      <c r="E3" s="20"/>
      <c r="F3" s="20"/>
      <c r="G3" s="20"/>
    </row>
    <row r="4" spans="1:7" x14ac:dyDescent="0.3">
      <c r="A4" s="250"/>
      <c r="B4" s="250"/>
      <c r="C4" s="250"/>
      <c r="D4" s="250"/>
      <c r="E4" s="20"/>
      <c r="F4" s="20"/>
      <c r="G4" s="20"/>
    </row>
    <row r="5" spans="1:7" x14ac:dyDescent="0.3">
      <c r="A5" s="250" t="s">
        <v>17</v>
      </c>
      <c r="B5" s="250"/>
      <c r="C5" s="250"/>
      <c r="D5" s="250"/>
      <c r="E5" s="20"/>
      <c r="F5" s="20"/>
      <c r="G5" s="20"/>
    </row>
    <row r="6" spans="1:7" x14ac:dyDescent="0.3">
      <c r="A6" s="156" t="s">
        <v>18</v>
      </c>
      <c r="B6" s="158" t="s">
        <v>8</v>
      </c>
      <c r="C6" s="257" t="s">
        <v>96</v>
      </c>
      <c r="D6" s="258"/>
      <c r="E6" s="20"/>
      <c r="F6" s="20"/>
      <c r="G6" s="20"/>
    </row>
    <row r="7" spans="1:7" x14ac:dyDescent="0.3">
      <c r="A7" s="156" t="s">
        <v>19</v>
      </c>
      <c r="B7" s="158" t="s">
        <v>7</v>
      </c>
      <c r="C7" s="259" t="s">
        <v>252</v>
      </c>
      <c r="D7" s="259"/>
      <c r="E7" s="20"/>
      <c r="F7" s="20"/>
      <c r="G7" s="20"/>
    </row>
    <row r="8" spans="1:7" x14ac:dyDescent="0.3">
      <c r="A8" s="22" t="s">
        <v>20</v>
      </c>
      <c r="B8" s="23" t="s">
        <v>21</v>
      </c>
      <c r="C8" s="260" t="s">
        <v>222</v>
      </c>
      <c r="D8" s="261"/>
      <c r="E8" s="20"/>
      <c r="F8" s="20"/>
      <c r="G8" s="20"/>
    </row>
    <row r="9" spans="1:7" x14ac:dyDescent="0.3">
      <c r="A9" s="156" t="s">
        <v>22</v>
      </c>
      <c r="B9" s="158" t="s">
        <v>23</v>
      </c>
      <c r="C9" s="255" t="s">
        <v>24</v>
      </c>
      <c r="D9" s="256"/>
      <c r="E9" s="20"/>
      <c r="F9" s="20"/>
      <c r="G9" s="20"/>
    </row>
    <row r="10" spans="1:7" x14ac:dyDescent="0.3">
      <c r="A10" s="156" t="s">
        <v>25</v>
      </c>
      <c r="B10" s="158" t="s">
        <v>26</v>
      </c>
      <c r="C10" s="255" t="s">
        <v>199</v>
      </c>
      <c r="D10" s="256"/>
      <c r="E10" s="20"/>
      <c r="F10" s="20"/>
      <c r="G10" s="20"/>
    </row>
    <row r="11" spans="1:7" x14ac:dyDescent="0.3">
      <c r="A11" s="156" t="s">
        <v>27</v>
      </c>
      <c r="B11" s="158" t="s">
        <v>28</v>
      </c>
      <c r="C11" s="262">
        <f>Proposta!F5</f>
        <v>1</v>
      </c>
      <c r="D11" s="263"/>
      <c r="E11" s="20"/>
      <c r="F11" s="20"/>
      <c r="G11" s="20"/>
    </row>
    <row r="12" spans="1:7" x14ac:dyDescent="0.3">
      <c r="A12" s="156" t="s">
        <v>29</v>
      </c>
      <c r="B12" s="158" t="s">
        <v>30</v>
      </c>
      <c r="C12" s="264">
        <f>Proposta!H5</f>
        <v>24</v>
      </c>
      <c r="D12" s="265"/>
      <c r="E12" s="20"/>
      <c r="F12" s="20"/>
      <c r="G12" s="20"/>
    </row>
    <row r="13" spans="1:7" x14ac:dyDescent="0.3">
      <c r="A13" s="266"/>
      <c r="B13" s="267"/>
      <c r="C13" s="267"/>
      <c r="D13" s="267"/>
      <c r="E13" s="20"/>
      <c r="F13" s="20"/>
      <c r="G13" s="20"/>
    </row>
    <row r="14" spans="1:7" x14ac:dyDescent="0.3">
      <c r="A14" s="268" t="s">
        <v>31</v>
      </c>
      <c r="B14" s="269"/>
      <c r="C14" s="269"/>
      <c r="D14" s="270"/>
      <c r="E14" s="20"/>
      <c r="F14" s="20"/>
      <c r="G14" s="20"/>
    </row>
    <row r="15" spans="1:7" x14ac:dyDescent="0.3">
      <c r="A15" s="259" t="s">
        <v>32</v>
      </c>
      <c r="B15" s="259"/>
      <c r="C15" s="259"/>
      <c r="D15" s="259"/>
      <c r="E15" s="20"/>
      <c r="F15" s="20"/>
      <c r="G15" s="20"/>
    </row>
    <row r="16" spans="1:7" x14ac:dyDescent="0.3">
      <c r="A16" s="156">
        <v>1</v>
      </c>
      <c r="B16" s="158" t="s">
        <v>33</v>
      </c>
      <c r="C16" s="255" t="s">
        <v>1</v>
      </c>
      <c r="D16" s="256" t="s">
        <v>1</v>
      </c>
      <c r="E16" s="20"/>
      <c r="F16" s="20"/>
      <c r="G16" s="20"/>
    </row>
    <row r="17" spans="1:7" x14ac:dyDescent="0.3">
      <c r="A17" s="156"/>
      <c r="B17" s="147" t="s">
        <v>253</v>
      </c>
      <c r="C17" s="272">
        <v>2</v>
      </c>
      <c r="D17" s="265">
        <v>1</v>
      </c>
      <c r="E17" s="20"/>
      <c r="F17" s="20"/>
      <c r="G17" s="20"/>
    </row>
    <row r="18" spans="1:7" x14ac:dyDescent="0.3">
      <c r="A18" s="156">
        <v>2</v>
      </c>
      <c r="B18" s="24" t="s">
        <v>34</v>
      </c>
      <c r="C18" s="273" t="s">
        <v>200</v>
      </c>
      <c r="D18" s="274"/>
      <c r="E18" s="20"/>
      <c r="F18" s="20"/>
      <c r="G18" s="20"/>
    </row>
    <row r="19" spans="1:7" x14ac:dyDescent="0.3">
      <c r="A19" s="259" t="s">
        <v>35</v>
      </c>
      <c r="B19" s="259"/>
      <c r="C19" s="259"/>
      <c r="D19" s="259"/>
      <c r="E19" s="20"/>
      <c r="F19" s="20"/>
      <c r="G19" s="20"/>
    </row>
    <row r="20" spans="1:7" x14ac:dyDescent="0.3">
      <c r="A20" s="156">
        <v>3</v>
      </c>
      <c r="B20" s="275" t="s">
        <v>6</v>
      </c>
      <c r="C20" s="276"/>
      <c r="D20" s="173">
        <v>1664.83</v>
      </c>
      <c r="E20" s="20"/>
      <c r="F20" s="20"/>
      <c r="G20" s="20"/>
    </row>
    <row r="21" spans="1:7" x14ac:dyDescent="0.3">
      <c r="A21" s="156">
        <v>4</v>
      </c>
      <c r="B21" s="275" t="s">
        <v>36</v>
      </c>
      <c r="C21" s="276"/>
      <c r="D21" s="174" t="s">
        <v>201</v>
      </c>
      <c r="E21" s="20"/>
      <c r="F21" s="20"/>
      <c r="G21" s="20"/>
    </row>
    <row r="22" spans="1:7" x14ac:dyDescent="0.3">
      <c r="A22" s="156">
        <v>5</v>
      </c>
      <c r="B22" s="275" t="s">
        <v>5</v>
      </c>
      <c r="C22" s="276"/>
      <c r="D22" s="175">
        <v>44228</v>
      </c>
      <c r="E22" s="20"/>
      <c r="F22" s="20"/>
      <c r="G22" s="20"/>
    </row>
    <row r="23" spans="1:7" x14ac:dyDescent="0.3">
      <c r="A23" s="255"/>
      <c r="B23" s="277"/>
      <c r="C23" s="277"/>
      <c r="D23" s="256"/>
      <c r="E23" s="20"/>
      <c r="F23" s="20"/>
      <c r="G23" s="20"/>
    </row>
    <row r="24" spans="1:7" x14ac:dyDescent="0.3">
      <c r="A24" s="278" t="s">
        <v>37</v>
      </c>
      <c r="B24" s="278"/>
      <c r="C24" s="278"/>
      <c r="D24" s="278"/>
      <c r="E24" s="20"/>
      <c r="F24" s="20"/>
      <c r="G24" s="20"/>
    </row>
    <row r="25" spans="1:7" hidden="1" outlineLevel="1" x14ac:dyDescent="0.3">
      <c r="A25" s="272"/>
      <c r="B25" s="279"/>
      <c r="C25" s="279"/>
      <c r="D25" s="265"/>
      <c r="E25" s="20"/>
      <c r="F25" s="20"/>
      <c r="G25" s="20"/>
    </row>
    <row r="26" spans="1:7" hidden="1" outlineLevel="1" x14ac:dyDescent="0.3">
      <c r="A26" s="157">
        <v>1</v>
      </c>
      <c r="B26" s="280" t="s">
        <v>38</v>
      </c>
      <c r="C26" s="281"/>
      <c r="D26" s="157" t="s">
        <v>39</v>
      </c>
      <c r="E26" s="20"/>
      <c r="F26" s="20"/>
      <c r="G26" s="20"/>
    </row>
    <row r="27" spans="1:7" hidden="1" outlineLevel="1" x14ac:dyDescent="0.3">
      <c r="A27" s="156" t="s">
        <v>40</v>
      </c>
      <c r="B27" s="158" t="s">
        <v>245</v>
      </c>
      <c r="C27" s="167">
        <v>220</v>
      </c>
      <c r="D27" s="25">
        <f>D20/220*C27</f>
        <v>1664.83</v>
      </c>
      <c r="E27" s="20"/>
      <c r="F27" s="20"/>
      <c r="G27" s="20"/>
    </row>
    <row r="28" spans="1:7" hidden="1" outlineLevel="1" x14ac:dyDescent="0.3">
      <c r="A28" s="156" t="s">
        <v>19</v>
      </c>
      <c r="B28" s="158" t="s">
        <v>223</v>
      </c>
      <c r="C28" s="26">
        <v>0.3</v>
      </c>
      <c r="D28" s="25">
        <f>C28*D27</f>
        <v>499.44899999999996</v>
      </c>
      <c r="E28" s="20"/>
      <c r="F28" s="20"/>
      <c r="G28" s="20"/>
    </row>
    <row r="29" spans="1:7" hidden="1" outlineLevel="1" x14ac:dyDescent="0.3">
      <c r="A29" s="156" t="s">
        <v>20</v>
      </c>
      <c r="B29" s="158" t="s">
        <v>41</v>
      </c>
      <c r="C29" s="26">
        <v>0</v>
      </c>
      <c r="D29" s="25">
        <f>C29*D27</f>
        <v>0</v>
      </c>
      <c r="E29" s="20"/>
      <c r="F29" s="20"/>
      <c r="G29" s="20"/>
    </row>
    <row r="30" spans="1:7" hidden="1" outlineLevel="1" x14ac:dyDescent="0.3">
      <c r="A30" s="156" t="s">
        <v>22</v>
      </c>
      <c r="B30" s="158" t="s">
        <v>225</v>
      </c>
      <c r="C30" s="27">
        <v>15</v>
      </c>
      <c r="D30" s="28">
        <f>(D20/C27*C30)*1.5</f>
        <v>170.26670454545453</v>
      </c>
      <c r="E30" s="20"/>
      <c r="F30" s="20"/>
      <c r="G30" s="20"/>
    </row>
    <row r="31" spans="1:7" hidden="1" outlineLevel="1" x14ac:dyDescent="0.3">
      <c r="A31" s="156" t="s">
        <v>25</v>
      </c>
      <c r="B31" s="158" t="s">
        <v>247</v>
      </c>
      <c r="C31" s="185">
        <f>((D20/220*20%))</f>
        <v>1.5134818181818182</v>
      </c>
      <c r="D31" s="28">
        <f>C31*7*C30</f>
        <v>158.91559090909089</v>
      </c>
      <c r="E31" s="186"/>
      <c r="F31" s="20"/>
      <c r="G31" s="20"/>
    </row>
    <row r="32" spans="1:7" hidden="1" outlineLevel="1" x14ac:dyDescent="0.3">
      <c r="A32" s="156" t="s">
        <v>27</v>
      </c>
      <c r="B32" s="158" t="s">
        <v>246</v>
      </c>
      <c r="C32" s="185">
        <f>(D20/220*(7.5/60))</f>
        <v>0.94592613636363632</v>
      </c>
      <c r="D32" s="28">
        <f>C32*7*C30</f>
        <v>99.322244318181816</v>
      </c>
      <c r="E32" s="187"/>
      <c r="F32" s="20"/>
      <c r="G32" s="20"/>
    </row>
    <row r="33" spans="1:7" hidden="1" outlineLevel="1" x14ac:dyDescent="0.3">
      <c r="A33" s="156" t="s">
        <v>29</v>
      </c>
      <c r="B33" s="85" t="s">
        <v>42</v>
      </c>
      <c r="C33" s="86">
        <v>0</v>
      </c>
      <c r="D33" s="87">
        <v>0</v>
      </c>
      <c r="E33" s="20"/>
      <c r="F33" s="20"/>
      <c r="G33" s="20"/>
    </row>
    <row r="34" spans="1:7" collapsed="1" x14ac:dyDescent="0.3">
      <c r="A34" s="280" t="s">
        <v>43</v>
      </c>
      <c r="B34" s="282"/>
      <c r="C34" s="281"/>
      <c r="D34" s="29">
        <f>SUM(D27:D33)</f>
        <v>2592.7835397727272</v>
      </c>
      <c r="E34" s="20"/>
      <c r="F34" s="20"/>
      <c r="G34" s="20"/>
    </row>
    <row r="35" spans="1:7" x14ac:dyDescent="0.3">
      <c r="A35" s="271"/>
      <c r="B35" s="271"/>
      <c r="C35" s="271"/>
      <c r="D35" s="271"/>
      <c r="E35" s="20"/>
      <c r="F35" s="20"/>
      <c r="G35" s="20"/>
    </row>
    <row r="36" spans="1:7" x14ac:dyDescent="0.3">
      <c r="A36" s="286" t="s">
        <v>44</v>
      </c>
      <c r="B36" s="287"/>
      <c r="C36" s="287"/>
      <c r="D36" s="288"/>
      <c r="E36" s="20"/>
      <c r="F36" s="20"/>
      <c r="G36" s="20"/>
    </row>
    <row r="37" spans="1:7" hidden="1" outlineLevel="1" x14ac:dyDescent="0.3">
      <c r="A37" s="289"/>
      <c r="B37" s="290"/>
      <c r="C37" s="290"/>
      <c r="D37" s="291"/>
      <c r="E37" s="20"/>
      <c r="F37" s="20"/>
      <c r="G37" s="20"/>
    </row>
    <row r="38" spans="1:7" hidden="1" outlineLevel="1" x14ac:dyDescent="0.3">
      <c r="A38" s="30" t="s">
        <v>45</v>
      </c>
      <c r="B38" s="31" t="s">
        <v>46</v>
      </c>
      <c r="C38" s="30" t="s">
        <v>47</v>
      </c>
      <c r="D38" s="30" t="s">
        <v>39</v>
      </c>
      <c r="E38" s="20"/>
      <c r="F38" s="20"/>
      <c r="G38" s="20"/>
    </row>
    <row r="39" spans="1:7" hidden="1" outlineLevel="2" x14ac:dyDescent="0.3">
      <c r="A39" s="32" t="s">
        <v>40</v>
      </c>
      <c r="B39" s="33" t="s">
        <v>48</v>
      </c>
      <c r="C39" s="34">
        <f>1/12</f>
        <v>8.3333333333333329E-2</v>
      </c>
      <c r="D39" s="25">
        <f>C39*D34</f>
        <v>216.06529498106059</v>
      </c>
      <c r="E39" s="20"/>
      <c r="F39" s="20"/>
      <c r="G39" s="20"/>
    </row>
    <row r="40" spans="1:7" hidden="1" outlineLevel="2" x14ac:dyDescent="0.3">
      <c r="A40" s="32" t="s">
        <v>19</v>
      </c>
      <c r="B40" s="33" t="s">
        <v>197</v>
      </c>
      <c r="C40" s="34">
        <f>IF(C12&gt;60,(1/C12/3)*5,IF(C12&gt;48,(1/C12/3)*4,IF(C12&gt;36,(1/C12/3)*3,IF(C12&gt;24,(1/C12/3)*2,IF(C12&gt;12,(1/C12/3)*1,0)))))</f>
        <v>1.3888888888888888E-2</v>
      </c>
      <c r="D40" s="25">
        <f>C40*D34</f>
        <v>36.010882496843429</v>
      </c>
      <c r="E40" s="20"/>
      <c r="F40" s="20"/>
      <c r="G40" s="20"/>
    </row>
    <row r="41" spans="1:7" hidden="1" outlineLevel="2" x14ac:dyDescent="0.3">
      <c r="A41" s="35" t="s">
        <v>120</v>
      </c>
      <c r="B41" s="33" t="s">
        <v>121</v>
      </c>
      <c r="C41" s="162">
        <v>0</v>
      </c>
      <c r="D41" s="122">
        <f>-D40*(1/3)*(C41)</f>
        <v>0</v>
      </c>
      <c r="E41" s="20"/>
      <c r="F41" s="20"/>
      <c r="G41" s="20"/>
    </row>
    <row r="42" spans="1:7" hidden="1" outlineLevel="1" collapsed="1" x14ac:dyDescent="0.3">
      <c r="A42" s="292" t="s">
        <v>14</v>
      </c>
      <c r="B42" s="293"/>
      <c r="C42" s="36">
        <f>SUM(C39:C40)</f>
        <v>9.722222222222221E-2</v>
      </c>
      <c r="D42" s="37">
        <f>SUM(D39:D41)</f>
        <v>252.07617747790403</v>
      </c>
      <c r="E42" s="20"/>
      <c r="F42" s="20"/>
      <c r="G42" s="20"/>
    </row>
    <row r="43" spans="1:7" hidden="1" outlineLevel="1" x14ac:dyDescent="0.3">
      <c r="A43" s="289"/>
      <c r="B43" s="290"/>
      <c r="C43" s="290"/>
      <c r="D43" s="291"/>
      <c r="E43" s="20"/>
      <c r="F43" s="20"/>
      <c r="G43" s="20"/>
    </row>
    <row r="44" spans="1:7" hidden="1" outlineLevel="1" x14ac:dyDescent="0.3">
      <c r="A44" s="30" t="s">
        <v>49</v>
      </c>
      <c r="B44" s="38" t="s">
        <v>50</v>
      </c>
      <c r="C44" s="30" t="s">
        <v>47</v>
      </c>
      <c r="D44" s="39" t="s">
        <v>39</v>
      </c>
      <c r="E44" s="20"/>
      <c r="F44" s="20"/>
      <c r="G44" s="20"/>
    </row>
    <row r="45" spans="1:7" hidden="1" outlineLevel="2" x14ac:dyDescent="0.3">
      <c r="A45" s="159" t="s">
        <v>40</v>
      </c>
      <c r="B45" s="40" t="s">
        <v>51</v>
      </c>
      <c r="C45" s="41">
        <v>0.2</v>
      </c>
      <c r="D45" s="25">
        <f>C45*($D$34+$D$42)</f>
        <v>568.97194345012622</v>
      </c>
      <c r="E45" s="20"/>
      <c r="F45" s="20"/>
      <c r="G45" s="20"/>
    </row>
    <row r="46" spans="1:7" hidden="1" outlineLevel="2" x14ac:dyDescent="0.3">
      <c r="A46" s="159" t="s">
        <v>19</v>
      </c>
      <c r="B46" s="40" t="s">
        <v>52</v>
      </c>
      <c r="C46" s="41">
        <v>2.5000000000000001E-2</v>
      </c>
      <c r="D46" s="25">
        <f t="shared" ref="D46:D52" si="0">C46*($D$34+$D$42)</f>
        <v>71.121492931265777</v>
      </c>
      <c r="E46" s="20"/>
      <c r="F46" s="20"/>
      <c r="G46" s="20"/>
    </row>
    <row r="47" spans="1:7" hidden="1" outlineLevel="2" x14ac:dyDescent="0.3">
      <c r="A47" s="159" t="s">
        <v>20</v>
      </c>
      <c r="B47" s="40" t="s">
        <v>114</v>
      </c>
      <c r="C47" s="161">
        <v>0.03</v>
      </c>
      <c r="D47" s="25">
        <f t="shared" si="0"/>
        <v>85.345791517518933</v>
      </c>
      <c r="E47" s="20"/>
      <c r="F47" s="20"/>
      <c r="G47" s="20"/>
    </row>
    <row r="48" spans="1:7" hidden="1" outlineLevel="2" x14ac:dyDescent="0.3">
      <c r="A48" s="159" t="s">
        <v>22</v>
      </c>
      <c r="B48" s="40" t="s">
        <v>232</v>
      </c>
      <c r="C48" s="41">
        <v>1.4999999999999999E-2</v>
      </c>
      <c r="D48" s="25">
        <f t="shared" si="0"/>
        <v>42.672895758759466</v>
      </c>
      <c r="E48" s="20"/>
      <c r="F48" s="20"/>
      <c r="G48" s="20"/>
    </row>
    <row r="49" spans="1:7" hidden="1" outlineLevel="2" x14ac:dyDescent="0.3">
      <c r="A49" s="159" t="s">
        <v>25</v>
      </c>
      <c r="B49" s="40" t="s">
        <v>233</v>
      </c>
      <c r="C49" s="41">
        <v>0.01</v>
      </c>
      <c r="D49" s="25">
        <f>C49*($D$34+$D$42)</f>
        <v>28.448597172506311</v>
      </c>
      <c r="E49" s="20"/>
      <c r="F49" s="20"/>
      <c r="G49" s="20"/>
    </row>
    <row r="50" spans="1:7" hidden="1" outlineLevel="2" x14ac:dyDescent="0.3">
      <c r="A50" s="159" t="s">
        <v>27</v>
      </c>
      <c r="B50" s="40" t="s">
        <v>53</v>
      </c>
      <c r="C50" s="41">
        <v>6.0000000000000001E-3</v>
      </c>
      <c r="D50" s="25">
        <f>C50*($D$34+$D$42)</f>
        <v>17.069158303503787</v>
      </c>
      <c r="E50" s="20"/>
      <c r="F50" s="20"/>
      <c r="G50" s="20"/>
    </row>
    <row r="51" spans="1:7" hidden="1" outlineLevel="2" x14ac:dyDescent="0.3">
      <c r="A51" s="159" t="s">
        <v>29</v>
      </c>
      <c r="B51" s="40" t="s">
        <v>54</v>
      </c>
      <c r="C51" s="41">
        <v>2E-3</v>
      </c>
      <c r="D51" s="25">
        <f t="shared" si="0"/>
        <v>5.6897194345012627</v>
      </c>
      <c r="E51" s="20"/>
      <c r="F51" s="20"/>
      <c r="G51" s="20"/>
    </row>
    <row r="52" spans="1:7" hidden="1" outlineLevel="2" x14ac:dyDescent="0.3">
      <c r="A52" s="159" t="s">
        <v>55</v>
      </c>
      <c r="B52" s="40" t="s">
        <v>56</v>
      </c>
      <c r="C52" s="41">
        <v>0.08</v>
      </c>
      <c r="D52" s="25">
        <f t="shared" si="0"/>
        <v>227.58877738005049</v>
      </c>
      <c r="E52" s="20"/>
      <c r="F52" s="20"/>
      <c r="G52" s="20"/>
    </row>
    <row r="53" spans="1:7" hidden="1" outlineLevel="1" collapsed="1" x14ac:dyDescent="0.3">
      <c r="A53" s="292" t="s">
        <v>14</v>
      </c>
      <c r="B53" s="293"/>
      <c r="C53" s="42">
        <f>SUM(C45:C52)</f>
        <v>0.36800000000000005</v>
      </c>
      <c r="D53" s="43">
        <f>SUM(D45:D52)</f>
        <v>1046.9083759482321</v>
      </c>
      <c r="E53" s="20"/>
      <c r="F53" s="20"/>
      <c r="G53" s="20"/>
    </row>
    <row r="54" spans="1:7" hidden="1" outlineLevel="1" x14ac:dyDescent="0.3">
      <c r="A54" s="289"/>
      <c r="B54" s="290"/>
      <c r="C54" s="290"/>
      <c r="D54" s="291"/>
      <c r="E54" s="20"/>
      <c r="F54" s="20"/>
      <c r="G54" s="20"/>
    </row>
    <row r="55" spans="1:7" hidden="1" outlineLevel="1" x14ac:dyDescent="0.3">
      <c r="A55" s="30" t="s">
        <v>57</v>
      </c>
      <c r="B55" s="38" t="s">
        <v>58</v>
      </c>
      <c r="C55" s="30" t="s">
        <v>59</v>
      </c>
      <c r="D55" s="30" t="s">
        <v>39</v>
      </c>
      <c r="E55" s="20"/>
      <c r="F55" s="20"/>
      <c r="G55" s="20"/>
    </row>
    <row r="56" spans="1:7" hidden="1" outlineLevel="2" x14ac:dyDescent="0.3">
      <c r="A56" s="159" t="s">
        <v>40</v>
      </c>
      <c r="B56" s="40" t="s">
        <v>60</v>
      </c>
      <c r="C56" s="44">
        <v>3.63</v>
      </c>
      <c r="D56" s="45">
        <f>IF((C30*2*C56)-(D27*6%)&lt;0,0,(C30*2*C56)-(D27*6%))</f>
        <v>9.0101999999999975</v>
      </c>
      <c r="E56" s="82"/>
      <c r="F56" s="20"/>
      <c r="G56" s="20"/>
    </row>
    <row r="57" spans="1:7" hidden="1" outlineLevel="2" x14ac:dyDescent="0.3">
      <c r="A57" s="159" t="s">
        <v>19</v>
      </c>
      <c r="B57" s="40" t="s">
        <v>61</v>
      </c>
      <c r="C57" s="83">
        <v>27.6</v>
      </c>
      <c r="D57" s="45">
        <f>C57*C30</f>
        <v>414</v>
      </c>
      <c r="E57" s="20"/>
      <c r="F57" s="20"/>
      <c r="G57" s="20"/>
    </row>
    <row r="58" spans="1:7" hidden="1" outlineLevel="2" x14ac:dyDescent="0.3">
      <c r="A58" s="73" t="s">
        <v>97</v>
      </c>
      <c r="B58" s="40" t="s">
        <v>98</v>
      </c>
      <c r="C58" s="84">
        <v>-0.2</v>
      </c>
      <c r="D58" s="122">
        <f>D57*C58</f>
        <v>-82.800000000000011</v>
      </c>
      <c r="E58" s="20"/>
      <c r="F58" s="20"/>
      <c r="G58" s="20"/>
    </row>
    <row r="59" spans="1:7" hidden="1" outlineLevel="2" x14ac:dyDescent="0.3">
      <c r="A59" s="159" t="s">
        <v>20</v>
      </c>
      <c r="B59" s="176" t="s">
        <v>229</v>
      </c>
      <c r="C59" s="169">
        <v>6.0000000000000001E-3</v>
      </c>
      <c r="D59" s="177">
        <f>C59*D27</f>
        <v>9.9889799999999997</v>
      </c>
      <c r="E59" s="20"/>
      <c r="F59" s="20"/>
      <c r="G59" s="20"/>
    </row>
    <row r="60" spans="1:7" hidden="1" outlineLevel="2" x14ac:dyDescent="0.3">
      <c r="A60" s="159" t="s">
        <v>22</v>
      </c>
      <c r="B60" s="178" t="s">
        <v>228</v>
      </c>
      <c r="C60" s="168">
        <v>14</v>
      </c>
      <c r="D60" s="177">
        <f>C60</f>
        <v>14</v>
      </c>
      <c r="E60" s="20"/>
      <c r="F60" s="20"/>
      <c r="G60" s="20"/>
    </row>
    <row r="61" spans="1:7" hidden="1" outlineLevel="2" x14ac:dyDescent="0.3">
      <c r="A61" s="159" t="s">
        <v>25</v>
      </c>
      <c r="B61" s="176" t="s">
        <v>167</v>
      </c>
      <c r="C61" s="169">
        <v>7.0000000000000007E-2</v>
      </c>
      <c r="D61" s="177">
        <f>C61*D34</f>
        <v>181.49484778409092</v>
      </c>
      <c r="E61" s="20"/>
      <c r="F61" s="20"/>
      <c r="G61" s="20"/>
    </row>
    <row r="62" spans="1:7" hidden="1" outlineLevel="2" x14ac:dyDescent="0.3">
      <c r="A62" s="159" t="s">
        <v>27</v>
      </c>
      <c r="B62" s="176" t="s">
        <v>42</v>
      </c>
      <c r="C62" s="84"/>
      <c r="D62" s="177"/>
      <c r="E62" s="20"/>
      <c r="F62" s="20"/>
      <c r="G62" s="20"/>
    </row>
    <row r="63" spans="1:7" hidden="1" outlineLevel="2" x14ac:dyDescent="0.3">
      <c r="A63" s="159" t="s">
        <v>29</v>
      </c>
      <c r="B63" s="176" t="s">
        <v>42</v>
      </c>
      <c r="C63" s="83"/>
      <c r="D63" s="179">
        <f>C63</f>
        <v>0</v>
      </c>
      <c r="E63" s="20"/>
      <c r="F63" s="20"/>
      <c r="G63" s="20"/>
    </row>
    <row r="64" spans="1:7" hidden="1" outlineLevel="1" collapsed="1" x14ac:dyDescent="0.3">
      <c r="A64" s="292" t="s">
        <v>62</v>
      </c>
      <c r="B64" s="294"/>
      <c r="C64" s="293"/>
      <c r="D64" s="37">
        <f>SUM(D56:D63)</f>
        <v>545.69402778409096</v>
      </c>
      <c r="E64" s="20"/>
      <c r="F64" s="20"/>
      <c r="G64" s="20"/>
    </row>
    <row r="65" spans="1:7" hidden="1" outlineLevel="1" x14ac:dyDescent="0.3">
      <c r="A65" s="289"/>
      <c r="B65" s="290"/>
      <c r="C65" s="290"/>
      <c r="D65" s="291"/>
      <c r="E65" s="20"/>
      <c r="F65" s="20"/>
      <c r="G65" s="20"/>
    </row>
    <row r="66" spans="1:7" hidden="1" outlineLevel="1" x14ac:dyDescent="0.3">
      <c r="A66" s="295" t="s">
        <v>63</v>
      </c>
      <c r="B66" s="296"/>
      <c r="C66" s="30" t="s">
        <v>47</v>
      </c>
      <c r="D66" s="30" t="s">
        <v>39</v>
      </c>
      <c r="E66" s="20"/>
      <c r="F66" s="20"/>
      <c r="G66" s="20"/>
    </row>
    <row r="67" spans="1:7" hidden="1" outlineLevel="1" x14ac:dyDescent="0.3">
      <c r="A67" s="159" t="s">
        <v>64</v>
      </c>
      <c r="B67" s="40" t="s">
        <v>46</v>
      </c>
      <c r="C67" s="46">
        <f>C42</f>
        <v>9.722222222222221E-2</v>
      </c>
      <c r="D67" s="25">
        <f>D42</f>
        <v>252.07617747790403</v>
      </c>
      <c r="E67" s="20"/>
      <c r="F67" s="20"/>
      <c r="G67" s="20"/>
    </row>
    <row r="68" spans="1:7" hidden="1" outlineLevel="1" x14ac:dyDescent="0.3">
      <c r="A68" s="159" t="s">
        <v>49</v>
      </c>
      <c r="B68" s="40" t="s">
        <v>50</v>
      </c>
      <c r="C68" s="46">
        <f>C53</f>
        <v>0.36800000000000005</v>
      </c>
      <c r="D68" s="25">
        <f>D53</f>
        <v>1046.9083759482321</v>
      </c>
      <c r="E68" s="20"/>
      <c r="F68" s="20"/>
      <c r="G68" s="20"/>
    </row>
    <row r="69" spans="1:7" hidden="1" outlineLevel="1" x14ac:dyDescent="0.3">
      <c r="A69" s="159" t="s">
        <v>65</v>
      </c>
      <c r="B69" s="40" t="s">
        <v>58</v>
      </c>
      <c r="C69" s="46">
        <f>D64/D34</f>
        <v>0.21046648106687851</v>
      </c>
      <c r="D69" s="25">
        <f>D64</f>
        <v>545.69402778409096</v>
      </c>
      <c r="E69" s="20"/>
      <c r="F69" s="20"/>
      <c r="G69" s="20"/>
    </row>
    <row r="70" spans="1:7" collapsed="1" x14ac:dyDescent="0.3">
      <c r="A70" s="292" t="s">
        <v>14</v>
      </c>
      <c r="B70" s="294"/>
      <c r="C70" s="293"/>
      <c r="D70" s="37">
        <f>SUM(D67:D69)</f>
        <v>1844.6785812102271</v>
      </c>
      <c r="E70" s="20"/>
      <c r="F70" s="20"/>
      <c r="G70" s="20"/>
    </row>
    <row r="71" spans="1:7" x14ac:dyDescent="0.3">
      <c r="A71" s="289"/>
      <c r="B71" s="290"/>
      <c r="C71" s="290"/>
      <c r="D71" s="291"/>
      <c r="E71" s="20"/>
      <c r="F71" s="20"/>
      <c r="G71" s="20"/>
    </row>
    <row r="72" spans="1:7" x14ac:dyDescent="0.3">
      <c r="A72" s="283" t="s">
        <v>126</v>
      </c>
      <c r="B72" s="284"/>
      <c r="C72" s="284"/>
      <c r="D72" s="285"/>
      <c r="E72" s="20"/>
      <c r="F72" s="20"/>
      <c r="G72" s="20"/>
    </row>
    <row r="73" spans="1:7" hidden="1" outlineLevel="1" x14ac:dyDescent="0.3">
      <c r="A73" s="289"/>
      <c r="B73" s="290"/>
      <c r="C73" s="290"/>
      <c r="D73" s="291"/>
      <c r="E73" s="20"/>
      <c r="F73" s="20"/>
      <c r="G73" s="20"/>
    </row>
    <row r="74" spans="1:7" hidden="1" outlineLevel="1" x14ac:dyDescent="0.3">
      <c r="A74" s="157" t="s">
        <v>129</v>
      </c>
      <c r="B74" s="31" t="s">
        <v>130</v>
      </c>
      <c r="C74" s="30" t="s">
        <v>47</v>
      </c>
      <c r="D74" s="30" t="s">
        <v>39</v>
      </c>
      <c r="E74" s="20"/>
      <c r="F74" s="20"/>
      <c r="G74" s="20"/>
    </row>
    <row r="75" spans="1:7" hidden="1" outlineLevel="2" x14ac:dyDescent="0.3">
      <c r="A75" s="47" t="s">
        <v>40</v>
      </c>
      <c r="B75" s="48" t="s">
        <v>131</v>
      </c>
      <c r="C75" s="47" t="s">
        <v>132</v>
      </c>
      <c r="D75" s="49">
        <f>IF(C86&gt;1,SUM(D76:D79)*2,SUM(D76:D79))</f>
        <v>3653.8081816597228</v>
      </c>
      <c r="E75" s="20"/>
      <c r="F75" s="20"/>
      <c r="G75" s="20"/>
    </row>
    <row r="76" spans="1:7" hidden="1" outlineLevel="2" x14ac:dyDescent="0.3">
      <c r="A76" s="50" t="s">
        <v>128</v>
      </c>
      <c r="B76" s="51" t="s">
        <v>133</v>
      </c>
      <c r="C76" s="47">
        <f>(IF(C12&gt;60,45,IF(C12&gt;48,42,IF(C12&gt;36,39,IF(C12&gt;24,36,IF(C12&gt;12,33,30)))))/30)</f>
        <v>1.1000000000000001</v>
      </c>
      <c r="D76" s="49">
        <f>D34*C76</f>
        <v>2852.0618937500003</v>
      </c>
      <c r="E76" s="20"/>
      <c r="F76" s="20"/>
      <c r="G76" s="20"/>
    </row>
    <row r="77" spans="1:7" hidden="1" outlineLevel="2" x14ac:dyDescent="0.3">
      <c r="A77" s="50" t="s">
        <v>142</v>
      </c>
      <c r="B77" s="51" t="s">
        <v>134</v>
      </c>
      <c r="C77" s="34">
        <f>1/12</f>
        <v>8.3333333333333329E-2</v>
      </c>
      <c r="D77" s="49">
        <f>C77*D76</f>
        <v>237.67182447916667</v>
      </c>
      <c r="E77" s="20"/>
      <c r="F77" s="20"/>
      <c r="G77" s="20"/>
    </row>
    <row r="78" spans="1:7" hidden="1" outlineLevel="2" x14ac:dyDescent="0.3">
      <c r="A78" s="50" t="s">
        <v>143</v>
      </c>
      <c r="B78" s="51" t="s">
        <v>135</v>
      </c>
      <c r="C78" s="34">
        <f>(1/12)+(1/12/3)</f>
        <v>0.1111111111111111</v>
      </c>
      <c r="D78" s="52">
        <f>C78*D76</f>
        <v>316.89576597222225</v>
      </c>
      <c r="E78" s="20"/>
      <c r="F78" s="20"/>
      <c r="G78" s="20"/>
    </row>
    <row r="79" spans="1:7" hidden="1" outlineLevel="2" x14ac:dyDescent="0.3">
      <c r="A79" s="50" t="s">
        <v>144</v>
      </c>
      <c r="B79" s="51" t="s">
        <v>136</v>
      </c>
      <c r="C79" s="53">
        <v>0.08</v>
      </c>
      <c r="D79" s="49">
        <f>SUM(D76:D77)*C79</f>
        <v>247.17869745833337</v>
      </c>
      <c r="E79" s="20"/>
      <c r="F79" s="20"/>
      <c r="G79" s="20"/>
    </row>
    <row r="80" spans="1:7" hidden="1" outlineLevel="2" x14ac:dyDescent="0.3">
      <c r="A80" s="47" t="s">
        <v>19</v>
      </c>
      <c r="B80" s="48" t="s">
        <v>137</v>
      </c>
      <c r="C80" s="54">
        <v>0.4</v>
      </c>
      <c r="D80" s="49">
        <f>C80*D81</f>
        <v>2184.8522628484843</v>
      </c>
      <c r="E80" s="20"/>
      <c r="F80" s="20"/>
      <c r="G80" s="20"/>
    </row>
    <row r="81" spans="1:7" hidden="1" outlineLevel="2" x14ac:dyDescent="0.3">
      <c r="A81" s="47" t="s">
        <v>120</v>
      </c>
      <c r="B81" s="48" t="s">
        <v>138</v>
      </c>
      <c r="C81" s="54">
        <f>C52</f>
        <v>0.08</v>
      </c>
      <c r="D81" s="49">
        <f>C81*D82</f>
        <v>5462.1306571212108</v>
      </c>
      <c r="E81" s="20"/>
      <c r="F81" s="20"/>
      <c r="G81" s="20"/>
    </row>
    <row r="82" spans="1:7" hidden="1" outlineLevel="2" x14ac:dyDescent="0.3">
      <c r="A82" s="47" t="s">
        <v>145</v>
      </c>
      <c r="B82" s="55" t="s">
        <v>102</v>
      </c>
      <c r="C82" s="56" t="s">
        <v>132</v>
      </c>
      <c r="D82" s="52">
        <f>SUM(D83:D85)</f>
        <v>68276.633214015135</v>
      </c>
      <c r="E82" s="20"/>
      <c r="F82" s="20"/>
      <c r="G82" s="20"/>
    </row>
    <row r="83" spans="1:7" hidden="1" outlineLevel="2" x14ac:dyDescent="0.3">
      <c r="A83" s="50" t="s">
        <v>146</v>
      </c>
      <c r="B83" s="51" t="s">
        <v>139</v>
      </c>
      <c r="C83" s="57">
        <f>C12-C85</f>
        <v>23</v>
      </c>
      <c r="D83" s="49">
        <f>D34*C83</f>
        <v>59634.021414772724</v>
      </c>
      <c r="E83" s="20"/>
      <c r="F83" s="20"/>
      <c r="G83" s="20"/>
    </row>
    <row r="84" spans="1:7" hidden="1" outlineLevel="2" x14ac:dyDescent="0.3">
      <c r="A84" s="50" t="s">
        <v>147</v>
      </c>
      <c r="B84" s="51" t="s">
        <v>140</v>
      </c>
      <c r="C84" s="58">
        <f>C12/12</f>
        <v>2</v>
      </c>
      <c r="D84" s="49">
        <f>D34*C84</f>
        <v>5185.5670795454544</v>
      </c>
      <c r="E84" s="20"/>
      <c r="F84" s="20"/>
      <c r="G84" s="20"/>
    </row>
    <row r="85" spans="1:7" hidden="1" outlineLevel="2" x14ac:dyDescent="0.3">
      <c r="A85" s="50" t="s">
        <v>148</v>
      </c>
      <c r="B85" s="51" t="s">
        <v>141</v>
      </c>
      <c r="C85" s="56">
        <f>IF(C12&gt;60,5,IF(C12&gt;48,4,IF(C12&gt;36,3,IF(C12&gt;24,2,IF(C12&gt;12,1,0)))))</f>
        <v>1</v>
      </c>
      <c r="D85" s="52">
        <f>D34*C85*1.33333333333333</f>
        <v>3457.0447196969608</v>
      </c>
      <c r="E85" s="20"/>
      <c r="F85" s="20"/>
      <c r="G85" s="20"/>
    </row>
    <row r="86" spans="1:7" hidden="1" outlineLevel="1" collapsed="1" x14ac:dyDescent="0.3">
      <c r="A86" s="292" t="s">
        <v>14</v>
      </c>
      <c r="B86" s="293"/>
      <c r="C86" s="163">
        <v>0.1</v>
      </c>
      <c r="D86" s="37">
        <f>IF(C86&gt;1,D75+D80,(D75+D80)*C86)</f>
        <v>583.86604445082071</v>
      </c>
      <c r="E86" s="20"/>
      <c r="F86" s="20"/>
      <c r="G86" s="20"/>
    </row>
    <row r="87" spans="1:7" hidden="1" outlineLevel="1" x14ac:dyDescent="0.3">
      <c r="A87" s="297"/>
      <c r="B87" s="298"/>
      <c r="C87" s="298"/>
      <c r="D87" s="299"/>
      <c r="E87" s="20"/>
      <c r="F87" s="20"/>
      <c r="G87" s="20"/>
    </row>
    <row r="88" spans="1:7" hidden="1" outlineLevel="1" x14ac:dyDescent="0.3">
      <c r="A88" s="157" t="s">
        <v>155</v>
      </c>
      <c r="B88" s="31" t="s">
        <v>154</v>
      </c>
      <c r="C88" s="30" t="s">
        <v>47</v>
      </c>
      <c r="D88" s="30" t="s">
        <v>39</v>
      </c>
      <c r="E88" s="20"/>
      <c r="F88" s="20"/>
      <c r="G88" s="20"/>
    </row>
    <row r="89" spans="1:7" hidden="1" outlineLevel="2" x14ac:dyDescent="0.3">
      <c r="A89" s="47" t="s">
        <v>40</v>
      </c>
      <c r="B89" s="55" t="s">
        <v>149</v>
      </c>
      <c r="C89" s="59">
        <f>IF(C98&gt;1,(1/30*7)*2,(1/30*7))</f>
        <v>0.23333333333333334</v>
      </c>
      <c r="D89" s="52">
        <f>C89*SUM(D90:D94)</f>
        <v>1091.1334685304714</v>
      </c>
      <c r="E89" s="20"/>
      <c r="F89" s="20"/>
      <c r="G89" s="20"/>
    </row>
    <row r="90" spans="1:7" hidden="1" outlineLevel="2" x14ac:dyDescent="0.3">
      <c r="A90" s="50" t="s">
        <v>128</v>
      </c>
      <c r="B90" s="51" t="s">
        <v>150</v>
      </c>
      <c r="C90" s="47">
        <v>1</v>
      </c>
      <c r="D90" s="49">
        <f>D34</f>
        <v>2592.7835397727272</v>
      </c>
      <c r="E90" s="20"/>
      <c r="F90" s="20"/>
      <c r="G90" s="20"/>
    </row>
    <row r="91" spans="1:7" hidden="1" outlineLevel="2" x14ac:dyDescent="0.3">
      <c r="A91" s="50" t="s">
        <v>142</v>
      </c>
      <c r="B91" s="51" t="s">
        <v>151</v>
      </c>
      <c r="C91" s="34">
        <f>1/12</f>
        <v>8.3333333333333329E-2</v>
      </c>
      <c r="D91" s="49">
        <f>C91*D90</f>
        <v>216.06529498106059</v>
      </c>
      <c r="E91" s="20"/>
      <c r="F91" s="20"/>
      <c r="G91" s="20"/>
    </row>
    <row r="92" spans="1:7" hidden="1" outlineLevel="2" x14ac:dyDescent="0.3">
      <c r="A92" s="50" t="s">
        <v>143</v>
      </c>
      <c r="B92" s="51" t="s">
        <v>152</v>
      </c>
      <c r="C92" s="34">
        <f>(1/12)+(1/12/3)</f>
        <v>0.1111111111111111</v>
      </c>
      <c r="D92" s="49">
        <f>C92*D90</f>
        <v>288.08705997474743</v>
      </c>
      <c r="E92" s="20"/>
      <c r="F92" s="20"/>
      <c r="G92" s="20"/>
    </row>
    <row r="93" spans="1:7" hidden="1" outlineLevel="2" x14ac:dyDescent="0.3">
      <c r="A93" s="50" t="s">
        <v>144</v>
      </c>
      <c r="B93" s="60" t="s">
        <v>66</v>
      </c>
      <c r="C93" s="61">
        <f>C53</f>
        <v>0.36800000000000005</v>
      </c>
      <c r="D93" s="52">
        <f>C93*(D90+D91)</f>
        <v>1033.6563711893941</v>
      </c>
      <c r="E93" s="20"/>
      <c r="F93" s="20"/>
      <c r="G93" s="20"/>
    </row>
    <row r="94" spans="1:7" hidden="1" outlineLevel="2" x14ac:dyDescent="0.3">
      <c r="A94" s="50" t="s">
        <v>156</v>
      </c>
      <c r="B94" s="60" t="s">
        <v>153</v>
      </c>
      <c r="C94" s="62">
        <v>1</v>
      </c>
      <c r="D94" s="52">
        <f>D64</f>
        <v>545.69402778409096</v>
      </c>
      <c r="E94" s="20"/>
      <c r="F94" s="20"/>
      <c r="G94" s="20"/>
    </row>
    <row r="95" spans="1:7" hidden="1" outlineLevel="2" x14ac:dyDescent="0.3">
      <c r="A95" s="47" t="s">
        <v>19</v>
      </c>
      <c r="B95" s="48" t="s">
        <v>220</v>
      </c>
      <c r="C95" s="54">
        <v>0.4</v>
      </c>
      <c r="D95" s="49">
        <f>C95*D96</f>
        <v>2184.8522628484843</v>
      </c>
      <c r="E95" s="63"/>
      <c r="F95" s="20"/>
      <c r="G95" s="20"/>
    </row>
    <row r="96" spans="1:7" hidden="1" outlineLevel="2" x14ac:dyDescent="0.3">
      <c r="A96" s="47" t="s">
        <v>120</v>
      </c>
      <c r="B96" s="48" t="s">
        <v>138</v>
      </c>
      <c r="C96" s="54">
        <f>C52</f>
        <v>0.08</v>
      </c>
      <c r="D96" s="49">
        <f>C96*D97</f>
        <v>5462.1306571212108</v>
      </c>
      <c r="E96" s="20"/>
      <c r="F96" s="20"/>
      <c r="G96" s="20"/>
    </row>
    <row r="97" spans="1:7" hidden="1" outlineLevel="2" x14ac:dyDescent="0.3">
      <c r="A97" s="47" t="s">
        <v>145</v>
      </c>
      <c r="B97" s="55" t="s">
        <v>102</v>
      </c>
      <c r="C97" s="56" t="s">
        <v>132</v>
      </c>
      <c r="D97" s="52">
        <f>D82</f>
        <v>68276.633214015135</v>
      </c>
      <c r="E97" s="20"/>
      <c r="F97" s="20"/>
      <c r="G97" s="20"/>
    </row>
    <row r="98" spans="1:7" hidden="1" outlineLevel="1" collapsed="1" x14ac:dyDescent="0.3">
      <c r="A98" s="292" t="s">
        <v>14</v>
      </c>
      <c r="B98" s="293"/>
      <c r="C98" s="163">
        <v>0.9</v>
      </c>
      <c r="D98" s="37">
        <f>IF(C98&gt;1,D89+D95,(D89+D95)*C98)</f>
        <v>2948.3871582410602</v>
      </c>
      <c r="E98" s="20"/>
      <c r="F98" s="20"/>
      <c r="G98" s="20"/>
    </row>
    <row r="99" spans="1:7" hidden="1" outlineLevel="1" x14ac:dyDescent="0.3">
      <c r="A99" s="297"/>
      <c r="B99" s="298"/>
      <c r="C99" s="298"/>
      <c r="D99" s="299"/>
      <c r="E99" s="20"/>
      <c r="F99" s="20"/>
      <c r="G99" s="20"/>
    </row>
    <row r="100" spans="1:7" hidden="1" outlineLevel="1" x14ac:dyDescent="0.3">
      <c r="A100" s="157" t="s">
        <v>160</v>
      </c>
      <c r="B100" s="31" t="s">
        <v>165</v>
      </c>
      <c r="C100" s="30" t="s">
        <v>47</v>
      </c>
      <c r="D100" s="30" t="s">
        <v>39</v>
      </c>
      <c r="E100" s="20"/>
      <c r="F100" s="20"/>
      <c r="G100" s="20"/>
    </row>
    <row r="101" spans="1:7" hidden="1" outlineLevel="2" x14ac:dyDescent="0.3">
      <c r="A101" s="159" t="s">
        <v>40</v>
      </c>
      <c r="B101" s="40" t="s">
        <v>162</v>
      </c>
      <c r="C101" s="46">
        <f>IF(C12&gt;60,(D34/12*(C12-60))/C12/D34,IF(C12&gt;48,(D34/12*(C12-48))/C12/D34,IF(C12&gt;36,(D34/12*(C12-36))/C12/D34,IF(C12&gt;24,(D34/12*(C12-24))/C12/D34,IF(C12&gt;12,((D34/12*(C12-12))/C12/D34),1/12)))))</f>
        <v>4.1666666666666664E-2</v>
      </c>
      <c r="D101" s="64">
        <f>C101*D34</f>
        <v>108.03264749053029</v>
      </c>
      <c r="E101" s="20"/>
      <c r="F101" s="20"/>
      <c r="G101" s="20"/>
    </row>
    <row r="102" spans="1:7" hidden="1" outlineLevel="2" x14ac:dyDescent="0.3">
      <c r="A102" s="159" t="s">
        <v>19</v>
      </c>
      <c r="B102" s="65" t="s">
        <v>163</v>
      </c>
      <c r="C102" s="46">
        <f>C101/3</f>
        <v>1.3888888888888888E-2</v>
      </c>
      <c r="D102" s="66">
        <f>C102*D34</f>
        <v>36.010882496843429</v>
      </c>
      <c r="E102" s="20"/>
      <c r="F102" s="20"/>
      <c r="G102" s="20"/>
    </row>
    <row r="103" spans="1:7" hidden="1" outlineLevel="2" x14ac:dyDescent="0.3">
      <c r="A103" s="159" t="s">
        <v>20</v>
      </c>
      <c r="B103" s="67" t="s">
        <v>166</v>
      </c>
      <c r="C103" s="71">
        <f>C41</f>
        <v>0</v>
      </c>
      <c r="D103" s="25">
        <f>-D41*4</f>
        <v>0</v>
      </c>
      <c r="E103" s="20"/>
      <c r="F103" s="20"/>
      <c r="G103" s="20"/>
    </row>
    <row r="104" spans="1:7" ht="15.75" hidden="1" customHeight="1" outlineLevel="1" collapsed="1" x14ac:dyDescent="0.3">
      <c r="A104" s="292" t="s">
        <v>14</v>
      </c>
      <c r="B104" s="293"/>
      <c r="C104" s="36">
        <f>C101+C102+(D103/D34)</f>
        <v>5.5555555555555552E-2</v>
      </c>
      <c r="D104" s="37">
        <f>SUM(D101:D103)</f>
        <v>144.04352998737372</v>
      </c>
      <c r="E104" s="20"/>
      <c r="F104" s="20"/>
      <c r="G104" s="20"/>
    </row>
    <row r="105" spans="1:7" hidden="1" outlineLevel="1" x14ac:dyDescent="0.3">
      <c r="A105" s="297"/>
      <c r="B105" s="298"/>
      <c r="C105" s="298"/>
      <c r="D105" s="299"/>
      <c r="E105" s="63"/>
      <c r="F105" s="20"/>
      <c r="G105" s="20"/>
    </row>
    <row r="106" spans="1:7" hidden="1" outlineLevel="1" x14ac:dyDescent="0.3">
      <c r="A106" s="295" t="s">
        <v>161</v>
      </c>
      <c r="B106" s="296"/>
      <c r="C106" s="30" t="s">
        <v>47</v>
      </c>
      <c r="D106" s="30" t="s">
        <v>39</v>
      </c>
      <c r="E106" s="63"/>
      <c r="F106" s="20"/>
      <c r="G106" s="20"/>
    </row>
    <row r="107" spans="1:7" hidden="1" outlineLevel="1" x14ac:dyDescent="0.3">
      <c r="A107" s="159" t="s">
        <v>129</v>
      </c>
      <c r="B107" s="40" t="s">
        <v>130</v>
      </c>
      <c r="C107" s="46">
        <f>C86</f>
        <v>0.1</v>
      </c>
      <c r="D107" s="25">
        <f>D86</f>
        <v>583.86604445082071</v>
      </c>
      <c r="E107" s="63"/>
      <c r="F107" s="20"/>
      <c r="G107" s="20"/>
    </row>
    <row r="108" spans="1:7" hidden="1" outlineLevel="1" x14ac:dyDescent="0.3">
      <c r="A108" s="32" t="s">
        <v>155</v>
      </c>
      <c r="B108" s="40" t="s">
        <v>154</v>
      </c>
      <c r="C108" s="68">
        <f>C98</f>
        <v>0.9</v>
      </c>
      <c r="D108" s="25">
        <f>D98</f>
        <v>2948.3871582410602</v>
      </c>
      <c r="E108" s="63"/>
      <c r="F108" s="20"/>
      <c r="G108" s="20"/>
    </row>
    <row r="109" spans="1:7" hidden="1" outlineLevel="1" x14ac:dyDescent="0.3">
      <c r="A109" s="300" t="s">
        <v>164</v>
      </c>
      <c r="B109" s="300"/>
      <c r="C109" s="300"/>
      <c r="D109" s="69">
        <f>D107+D108</f>
        <v>3532.2532026918807</v>
      </c>
      <c r="E109" s="63"/>
      <c r="F109" s="20"/>
      <c r="G109" s="20"/>
    </row>
    <row r="110" spans="1:7" hidden="1" outlineLevel="1" x14ac:dyDescent="0.3">
      <c r="A110" s="301" t="s">
        <v>195</v>
      </c>
      <c r="B110" s="302"/>
      <c r="C110" s="164">
        <v>0.71030000000000004</v>
      </c>
      <c r="D110" s="123">
        <f>C110*D109</f>
        <v>2508.959449872043</v>
      </c>
      <c r="E110" s="63"/>
      <c r="F110" s="20"/>
      <c r="G110" s="20"/>
    </row>
    <row r="111" spans="1:7" hidden="1" outlineLevel="1" x14ac:dyDescent="0.3">
      <c r="A111" s="303" t="s">
        <v>194</v>
      </c>
      <c r="B111" s="304"/>
      <c r="C111" s="172">
        <f>1/C12</f>
        <v>4.1666666666666664E-2</v>
      </c>
      <c r="D111" s="132">
        <f>D110*C111</f>
        <v>104.53997707800178</v>
      </c>
      <c r="E111" s="63"/>
      <c r="F111" s="20"/>
      <c r="G111" s="20"/>
    </row>
    <row r="112" spans="1:7" hidden="1" outlineLevel="1" x14ac:dyDescent="0.3">
      <c r="A112" s="32" t="s">
        <v>160</v>
      </c>
      <c r="B112" s="40" t="s">
        <v>159</v>
      </c>
      <c r="C112" s="68"/>
      <c r="D112" s="122">
        <f>D104</f>
        <v>144.04352998737372</v>
      </c>
      <c r="E112" s="63"/>
      <c r="F112" s="20"/>
      <c r="G112" s="20"/>
    </row>
    <row r="113" spans="1:7" collapsed="1" x14ac:dyDescent="0.3">
      <c r="A113" s="292" t="s">
        <v>67</v>
      </c>
      <c r="B113" s="293"/>
      <c r="C113" s="36"/>
      <c r="D113" s="70">
        <f>D111+D112</f>
        <v>248.5835070653755</v>
      </c>
      <c r="E113" s="20"/>
      <c r="F113" s="20"/>
      <c r="G113" s="20"/>
    </row>
    <row r="114" spans="1:7" x14ac:dyDescent="0.3">
      <c r="A114" s="289"/>
      <c r="B114" s="290"/>
      <c r="C114" s="290"/>
      <c r="D114" s="291"/>
      <c r="E114" s="20"/>
      <c r="F114" s="20"/>
      <c r="G114" s="20"/>
    </row>
    <row r="115" spans="1:7" x14ac:dyDescent="0.3">
      <c r="A115" s="286" t="s">
        <v>68</v>
      </c>
      <c r="B115" s="287"/>
      <c r="C115" s="287"/>
      <c r="D115" s="288"/>
      <c r="E115" s="20"/>
      <c r="F115" s="20"/>
      <c r="G115" s="20"/>
    </row>
    <row r="116" spans="1:7" hidden="1" outlineLevel="1" x14ac:dyDescent="0.3">
      <c r="A116" s="297"/>
      <c r="B116" s="298"/>
      <c r="C116" s="298"/>
      <c r="D116" s="299"/>
      <c r="E116" s="20"/>
      <c r="F116" s="20"/>
      <c r="G116" s="20"/>
    </row>
    <row r="117" spans="1:7" hidden="1" outlineLevel="1" x14ac:dyDescent="0.3">
      <c r="A117" s="30" t="s">
        <v>69</v>
      </c>
      <c r="B117" s="38" t="s">
        <v>124</v>
      </c>
      <c r="C117" s="36" t="s">
        <v>47</v>
      </c>
      <c r="D117" s="30" t="s">
        <v>39</v>
      </c>
      <c r="E117" s="20"/>
      <c r="F117" s="20"/>
      <c r="G117" s="20"/>
    </row>
    <row r="118" spans="1:7" hidden="1" outlineLevel="2" x14ac:dyDescent="0.3">
      <c r="A118" s="159" t="s">
        <v>40</v>
      </c>
      <c r="B118" s="40" t="s">
        <v>70</v>
      </c>
      <c r="C118" s="71">
        <f>IF(C12&gt;60,5/C12,IF(C12&gt;48,4/C12,IF(C12&gt;36,3/C12,IF(C12&gt;24,2/C12,IF(C12&gt;12,1/C12,0)))))</f>
        <v>4.1666666666666664E-2</v>
      </c>
      <c r="D118" s="64">
        <f>C118*(D34+D70+D113)</f>
        <v>195.25190116868043</v>
      </c>
      <c r="E118" s="133"/>
      <c r="F118" s="20"/>
      <c r="G118" s="72"/>
    </row>
    <row r="119" spans="1:7" hidden="1" outlineLevel="2" x14ac:dyDescent="0.3">
      <c r="A119" s="73" t="s">
        <v>128</v>
      </c>
      <c r="B119" s="40" t="s">
        <v>127</v>
      </c>
      <c r="C119" s="71">
        <f>C41</f>
        <v>0</v>
      </c>
      <c r="D119" s="122">
        <f>-D118*(1/3)*(C119)</f>
        <v>0</v>
      </c>
      <c r="E119" s="20"/>
      <c r="F119" s="20"/>
      <c r="G119" s="20"/>
    </row>
    <row r="120" spans="1:7" hidden="1" outlineLevel="1" collapsed="1" x14ac:dyDescent="0.3">
      <c r="A120" s="292" t="s">
        <v>158</v>
      </c>
      <c r="B120" s="293"/>
      <c r="C120" s="36">
        <f>C118+(D119/D34)</f>
        <v>4.1666666666666664E-2</v>
      </c>
      <c r="D120" s="37">
        <f>SUM(D118:D119)</f>
        <v>195.25190116868043</v>
      </c>
      <c r="E120" s="20"/>
      <c r="F120" s="20"/>
      <c r="G120" s="20"/>
    </row>
    <row r="121" spans="1:7" hidden="1" outlineLevel="1" x14ac:dyDescent="0.3">
      <c r="A121" s="297"/>
      <c r="B121" s="298"/>
      <c r="C121" s="298"/>
      <c r="D121" s="299"/>
      <c r="E121" s="20"/>
      <c r="F121" s="20"/>
      <c r="G121" s="20"/>
    </row>
    <row r="122" spans="1:7" hidden="1" outlineLevel="1" x14ac:dyDescent="0.3">
      <c r="A122" s="30" t="s">
        <v>123</v>
      </c>
      <c r="B122" s="38" t="s">
        <v>125</v>
      </c>
      <c r="C122" s="36" t="s">
        <v>47</v>
      </c>
      <c r="D122" s="30" t="s">
        <v>39</v>
      </c>
      <c r="E122" s="20"/>
      <c r="F122" s="20"/>
      <c r="G122" s="20"/>
    </row>
    <row r="123" spans="1:7" hidden="1" outlineLevel="2" x14ac:dyDescent="0.3">
      <c r="A123" s="159" t="s">
        <v>40</v>
      </c>
      <c r="B123" s="149" t="s">
        <v>122</v>
      </c>
      <c r="C123" s="165">
        <v>1.35E-2</v>
      </c>
      <c r="D123" s="64">
        <f t="shared" ref="D123:D128" si="1">C123*($D$64+$D$113+$D$34)</f>
        <v>45.725324507399613</v>
      </c>
      <c r="E123" s="20"/>
      <c r="F123" s="20"/>
      <c r="G123" s="72"/>
    </row>
    <row r="124" spans="1:7" hidden="1" outlineLevel="2" x14ac:dyDescent="0.3">
      <c r="A124" s="159" t="s">
        <v>19</v>
      </c>
      <c r="B124" s="40" t="s">
        <v>104</v>
      </c>
      <c r="C124" s="180">
        <v>1.66E-2</v>
      </c>
      <c r="D124" s="64">
        <f t="shared" si="1"/>
        <v>56.225213838728415</v>
      </c>
      <c r="E124" s="20"/>
      <c r="F124" s="20"/>
      <c r="G124" s="72"/>
    </row>
    <row r="125" spans="1:7" hidden="1" outlineLevel="2" x14ac:dyDescent="0.3">
      <c r="A125" s="159" t="s">
        <v>20</v>
      </c>
      <c r="B125" s="40" t="s">
        <v>105</v>
      </c>
      <c r="C125" s="180">
        <v>2.7000000000000001E-3</v>
      </c>
      <c r="D125" s="64">
        <f t="shared" si="1"/>
        <v>9.1450649014799232</v>
      </c>
      <c r="E125" s="20"/>
      <c r="F125" s="20"/>
      <c r="G125" s="72"/>
    </row>
    <row r="126" spans="1:7" hidden="1" outlineLevel="2" x14ac:dyDescent="0.3">
      <c r="A126" s="159" t="s">
        <v>22</v>
      </c>
      <c r="B126" s="40" t="s">
        <v>103</v>
      </c>
      <c r="C126" s="180">
        <v>2.8E-3</v>
      </c>
      <c r="D126" s="64">
        <f t="shared" si="1"/>
        <v>9.4837710089421421</v>
      </c>
      <c r="E126" s="20"/>
      <c r="F126" s="20"/>
      <c r="G126" s="20"/>
    </row>
    <row r="127" spans="1:7" hidden="1" outlineLevel="2" x14ac:dyDescent="0.3">
      <c r="A127" s="159" t="s">
        <v>25</v>
      </c>
      <c r="B127" s="40" t="s">
        <v>71</v>
      </c>
      <c r="C127" s="180">
        <v>2.0000000000000001E-4</v>
      </c>
      <c r="D127" s="64">
        <f t="shared" si="1"/>
        <v>0.67741221492443882</v>
      </c>
      <c r="E127" s="20"/>
      <c r="F127" s="20"/>
      <c r="G127" s="20"/>
    </row>
    <row r="128" spans="1:7" hidden="1" outlineLevel="2" x14ac:dyDescent="0.3">
      <c r="A128" s="159" t="s">
        <v>27</v>
      </c>
      <c r="B128" s="40" t="s">
        <v>72</v>
      </c>
      <c r="C128" s="180">
        <v>2.9999999999999997E-4</v>
      </c>
      <c r="D128" s="64">
        <f t="shared" si="1"/>
        <v>1.0161183223866581</v>
      </c>
      <c r="E128" s="20"/>
      <c r="F128" s="20"/>
      <c r="G128" s="20"/>
    </row>
    <row r="129" spans="1:7" hidden="1" outlineLevel="1" collapsed="1" x14ac:dyDescent="0.3">
      <c r="A129" s="292" t="s">
        <v>158</v>
      </c>
      <c r="B129" s="293"/>
      <c r="C129" s="36">
        <f>SUM(C123:C128)</f>
        <v>3.61E-2</v>
      </c>
      <c r="D129" s="37">
        <f>SUM(D123:D128)</f>
        <v>122.2729047938612</v>
      </c>
      <c r="E129" s="20"/>
      <c r="F129" s="20"/>
      <c r="G129" s="20"/>
    </row>
    <row r="130" spans="1:7" hidden="1" outlineLevel="1" x14ac:dyDescent="0.3">
      <c r="A130" s="297"/>
      <c r="B130" s="298"/>
      <c r="C130" s="298"/>
      <c r="D130" s="299"/>
      <c r="E130" s="20"/>
      <c r="F130" s="20"/>
      <c r="G130" s="20"/>
    </row>
    <row r="131" spans="1:7" hidden="1" outlineLevel="1" x14ac:dyDescent="0.3">
      <c r="A131" s="295" t="s">
        <v>157</v>
      </c>
      <c r="B131" s="296"/>
      <c r="C131" s="30" t="s">
        <v>47</v>
      </c>
      <c r="D131" s="30" t="s">
        <v>39</v>
      </c>
      <c r="E131" s="20"/>
      <c r="F131" s="20"/>
      <c r="G131" s="20"/>
    </row>
    <row r="132" spans="1:7" hidden="1" outlineLevel="1" x14ac:dyDescent="0.3">
      <c r="A132" s="159" t="s">
        <v>69</v>
      </c>
      <c r="B132" s="40" t="s">
        <v>124</v>
      </c>
      <c r="C132" s="46"/>
      <c r="D132" s="98">
        <f>D120</f>
        <v>195.25190116868043</v>
      </c>
      <c r="E132" s="20"/>
      <c r="F132" s="20"/>
      <c r="G132" s="20"/>
    </row>
    <row r="133" spans="1:7" hidden="1" outlineLevel="1" x14ac:dyDescent="0.3">
      <c r="A133" s="159" t="s">
        <v>123</v>
      </c>
      <c r="B133" s="40" t="s">
        <v>125</v>
      </c>
      <c r="C133" s="46"/>
      <c r="D133" s="98">
        <f>D129</f>
        <v>122.2729047938612</v>
      </c>
      <c r="E133" s="20"/>
      <c r="F133" s="20"/>
      <c r="G133" s="20"/>
    </row>
    <row r="134" spans="1:7" collapsed="1" x14ac:dyDescent="0.3">
      <c r="A134" s="292" t="s">
        <v>14</v>
      </c>
      <c r="B134" s="294"/>
      <c r="C134" s="293"/>
      <c r="D134" s="99">
        <f>SUM(D132:D133)</f>
        <v>317.52480596254162</v>
      </c>
      <c r="E134" s="20"/>
      <c r="F134" s="20"/>
      <c r="G134" s="20"/>
    </row>
    <row r="135" spans="1:7" x14ac:dyDescent="0.3">
      <c r="A135" s="297"/>
      <c r="B135" s="298"/>
      <c r="C135" s="298"/>
      <c r="D135" s="299"/>
      <c r="E135" s="20"/>
      <c r="F135" s="20"/>
      <c r="G135" s="20"/>
    </row>
    <row r="136" spans="1:7" x14ac:dyDescent="0.3">
      <c r="A136" s="286" t="s">
        <v>73</v>
      </c>
      <c r="B136" s="287"/>
      <c r="C136" s="287"/>
      <c r="D136" s="288"/>
      <c r="E136" s="20"/>
      <c r="F136" s="20"/>
      <c r="G136" s="20"/>
    </row>
    <row r="137" spans="1:7" hidden="1" outlineLevel="1" x14ac:dyDescent="0.3">
      <c r="A137" s="297"/>
      <c r="B137" s="298"/>
      <c r="C137" s="298"/>
      <c r="D137" s="299"/>
      <c r="E137" s="20"/>
      <c r="F137" s="20"/>
      <c r="G137" s="20"/>
    </row>
    <row r="138" spans="1:7" hidden="1" outlineLevel="1" x14ac:dyDescent="0.3">
      <c r="A138" s="157">
        <v>5</v>
      </c>
      <c r="B138" s="292" t="s">
        <v>248</v>
      </c>
      <c r="C138" s="293"/>
      <c r="D138" s="30" t="s">
        <v>39</v>
      </c>
      <c r="E138" s="20"/>
      <c r="F138" s="20"/>
      <c r="G138" s="20"/>
    </row>
    <row r="139" spans="1:7" hidden="1" outlineLevel="1" x14ac:dyDescent="0.3">
      <c r="A139" s="159" t="s">
        <v>40</v>
      </c>
      <c r="B139" s="308" t="s">
        <v>249</v>
      </c>
      <c r="C139" s="309"/>
      <c r="D139" s="95">
        <f>INSUMOS!H17</f>
        <v>53.838916666666663</v>
      </c>
      <c r="E139" s="20"/>
      <c r="F139" s="20"/>
      <c r="G139" s="20"/>
    </row>
    <row r="140" spans="1:7" hidden="1" outlineLevel="1" x14ac:dyDescent="0.3">
      <c r="A140" s="159" t="s">
        <v>19</v>
      </c>
      <c r="B140" s="308" t="s">
        <v>269</v>
      </c>
      <c r="C140" s="309"/>
      <c r="D140" s="74">
        <f>INSUMOS!H39</f>
        <v>23.641805555555553</v>
      </c>
      <c r="E140" s="20"/>
      <c r="F140" s="20"/>
      <c r="G140" s="20"/>
    </row>
    <row r="141" spans="1:7" hidden="1" outlineLevel="1" x14ac:dyDescent="0.3">
      <c r="A141" s="159" t="s">
        <v>20</v>
      </c>
      <c r="B141" s="310" t="s">
        <v>268</v>
      </c>
      <c r="C141" s="311"/>
      <c r="D141" s="181">
        <f>INSUMOS!H50</f>
        <v>62.5</v>
      </c>
      <c r="E141" s="20"/>
      <c r="F141" s="20"/>
      <c r="G141" s="20"/>
    </row>
    <row r="142" spans="1:7" hidden="1" outlineLevel="1" x14ac:dyDescent="0.3">
      <c r="A142" s="159" t="s">
        <v>25</v>
      </c>
      <c r="B142" s="312" t="s">
        <v>42</v>
      </c>
      <c r="C142" s="313"/>
      <c r="D142" s="96">
        <v>0</v>
      </c>
      <c r="E142" s="20"/>
      <c r="F142" s="20"/>
      <c r="G142" s="20"/>
    </row>
    <row r="143" spans="1:7" collapsed="1" x14ac:dyDescent="0.3">
      <c r="A143" s="292" t="s">
        <v>74</v>
      </c>
      <c r="B143" s="294"/>
      <c r="C143" s="293"/>
      <c r="D143" s="97">
        <f>SUM(D139:D142)</f>
        <v>139.9807222222222</v>
      </c>
      <c r="E143" s="20"/>
      <c r="F143" s="20"/>
      <c r="G143" s="20"/>
    </row>
    <row r="144" spans="1:7" x14ac:dyDescent="0.3">
      <c r="A144" s="289"/>
      <c r="B144" s="290"/>
      <c r="C144" s="290"/>
      <c r="D144" s="291"/>
      <c r="E144" s="20"/>
      <c r="F144" s="20"/>
      <c r="G144" s="20"/>
    </row>
    <row r="145" spans="1:7" x14ac:dyDescent="0.3">
      <c r="A145" s="314" t="s">
        <v>75</v>
      </c>
      <c r="B145" s="314"/>
      <c r="C145" s="314"/>
      <c r="D145" s="160">
        <f>D34+D70+D113+D134+D143</f>
        <v>5143.5511562330948</v>
      </c>
      <c r="E145" s="20"/>
      <c r="F145" s="20"/>
      <c r="G145" s="20"/>
    </row>
    <row r="146" spans="1:7" x14ac:dyDescent="0.3">
      <c r="A146" s="271"/>
      <c r="B146" s="271"/>
      <c r="C146" s="271"/>
      <c r="D146" s="271"/>
      <c r="E146" s="20"/>
      <c r="F146" s="20"/>
      <c r="G146" s="20"/>
    </row>
    <row r="147" spans="1:7" x14ac:dyDescent="0.3">
      <c r="A147" s="315" t="s">
        <v>76</v>
      </c>
      <c r="B147" s="315"/>
      <c r="C147" s="315"/>
      <c r="D147" s="315"/>
      <c r="E147" s="20"/>
      <c r="F147" s="20"/>
      <c r="G147" s="20"/>
    </row>
    <row r="148" spans="1:7" hidden="1" outlineLevel="1" x14ac:dyDescent="0.3">
      <c r="A148" s="316"/>
      <c r="B148" s="317"/>
      <c r="C148" s="317"/>
      <c r="D148" s="318"/>
      <c r="E148" s="20"/>
      <c r="F148" s="20"/>
      <c r="G148" s="20"/>
    </row>
    <row r="149" spans="1:7" hidden="1" outlineLevel="1" x14ac:dyDescent="0.3">
      <c r="A149" s="157">
        <v>6</v>
      </c>
      <c r="B149" s="38" t="s">
        <v>77</v>
      </c>
      <c r="C149" s="30" t="s">
        <v>47</v>
      </c>
      <c r="D149" s="30" t="s">
        <v>39</v>
      </c>
      <c r="E149" s="20"/>
      <c r="F149" s="20"/>
      <c r="G149" s="20"/>
    </row>
    <row r="150" spans="1:7" hidden="1" outlineLevel="1" x14ac:dyDescent="0.3">
      <c r="A150" s="159" t="s">
        <v>40</v>
      </c>
      <c r="B150" s="40" t="s">
        <v>78</v>
      </c>
      <c r="C150" s="166">
        <v>5.6599999999999998E-2</v>
      </c>
      <c r="D150" s="28">
        <f>C150*D145</f>
        <v>291.12499544279314</v>
      </c>
      <c r="E150" s="20"/>
      <c r="F150" s="20"/>
      <c r="G150" s="20"/>
    </row>
    <row r="151" spans="1:7" hidden="1" outlineLevel="1" x14ac:dyDescent="0.3">
      <c r="A151" s="305" t="s">
        <v>4</v>
      </c>
      <c r="B151" s="306"/>
      <c r="C151" s="307"/>
      <c r="D151" s="28">
        <f>D145+D150</f>
        <v>5434.6761516758879</v>
      </c>
      <c r="E151" s="20"/>
      <c r="F151" s="20"/>
      <c r="G151" s="20"/>
    </row>
    <row r="152" spans="1:7" hidden="1" outlineLevel="1" x14ac:dyDescent="0.3">
      <c r="A152" s="159" t="s">
        <v>19</v>
      </c>
      <c r="B152" s="40" t="s">
        <v>79</v>
      </c>
      <c r="C152" s="166">
        <v>5.62E-2</v>
      </c>
      <c r="D152" s="28">
        <f>C152*D151</f>
        <v>305.4287997241849</v>
      </c>
      <c r="E152" s="20"/>
      <c r="F152" s="20"/>
      <c r="G152" s="20"/>
    </row>
    <row r="153" spans="1:7" hidden="1" outlineLevel="1" x14ac:dyDescent="0.3">
      <c r="A153" s="305" t="s">
        <v>4</v>
      </c>
      <c r="B153" s="306"/>
      <c r="C153" s="306"/>
      <c r="D153" s="28">
        <f>D152+D151</f>
        <v>5740.1049514000724</v>
      </c>
      <c r="E153" s="20"/>
      <c r="F153" s="20"/>
      <c r="G153" s="20"/>
    </row>
    <row r="154" spans="1:7" hidden="1" outlineLevel="1" x14ac:dyDescent="0.3">
      <c r="A154" s="159" t="s">
        <v>20</v>
      </c>
      <c r="B154" s="310" t="s">
        <v>80</v>
      </c>
      <c r="C154" s="319"/>
      <c r="D154" s="311"/>
      <c r="E154" s="20"/>
      <c r="F154" s="20"/>
      <c r="G154" s="20"/>
    </row>
    <row r="155" spans="1:7" hidden="1" outlineLevel="1" x14ac:dyDescent="0.3">
      <c r="A155" s="88"/>
      <c r="B155" s="158" t="s">
        <v>81</v>
      </c>
      <c r="C155" s="166">
        <v>6.4999999999999997E-3</v>
      </c>
      <c r="D155" s="28">
        <f>(D153/(1-C158)*C155)</f>
        <v>39.968593662667885</v>
      </c>
      <c r="E155" s="20"/>
      <c r="F155" s="20"/>
      <c r="G155" s="20"/>
    </row>
    <row r="156" spans="1:7" hidden="1" outlineLevel="1" x14ac:dyDescent="0.3">
      <c r="A156" s="88"/>
      <c r="B156" s="158" t="s">
        <v>82</v>
      </c>
      <c r="C156" s="166">
        <v>0.03</v>
      </c>
      <c r="D156" s="28">
        <f>(D153/(1-C158)*C156)</f>
        <v>184.47043228923638</v>
      </c>
      <c r="E156" s="20"/>
      <c r="F156" s="20"/>
      <c r="G156" s="20"/>
    </row>
    <row r="157" spans="1:7" hidden="1" outlineLevel="1" x14ac:dyDescent="0.3">
      <c r="A157" s="88"/>
      <c r="B157" s="158" t="s">
        <v>251</v>
      </c>
      <c r="C157" s="75">
        <v>0.03</v>
      </c>
      <c r="D157" s="28">
        <f>(D153/(1-C158)*C157)</f>
        <v>184.47043228923638</v>
      </c>
      <c r="E157" s="20"/>
      <c r="F157" s="20"/>
      <c r="G157" s="20"/>
    </row>
    <row r="158" spans="1:7" hidden="1" outlineLevel="1" x14ac:dyDescent="0.3">
      <c r="A158" s="305" t="s">
        <v>83</v>
      </c>
      <c r="B158" s="307"/>
      <c r="C158" s="76">
        <f>SUM(C155:C157)</f>
        <v>6.6500000000000004E-2</v>
      </c>
      <c r="D158" s="28">
        <f>SUM(D155:D157)</f>
        <v>408.90945824114067</v>
      </c>
      <c r="E158" s="20"/>
      <c r="F158" s="20"/>
      <c r="G158" s="20"/>
    </row>
    <row r="159" spans="1:7" collapsed="1" x14ac:dyDescent="0.3">
      <c r="A159" s="292" t="s">
        <v>84</v>
      </c>
      <c r="B159" s="293"/>
      <c r="C159" s="77">
        <f>SUM(C150+C152+C158)</f>
        <v>0.17930000000000001</v>
      </c>
      <c r="D159" s="29">
        <f>SUM(D158+D150+D152)</f>
        <v>1005.4632534081188</v>
      </c>
      <c r="E159" s="20"/>
      <c r="F159" s="20"/>
      <c r="G159" s="20"/>
    </row>
    <row r="160" spans="1:7" x14ac:dyDescent="0.3">
      <c r="A160" s="289"/>
      <c r="B160" s="290"/>
      <c r="C160" s="290"/>
      <c r="D160" s="291"/>
      <c r="E160" s="20"/>
      <c r="F160" s="20"/>
      <c r="G160" s="20"/>
    </row>
    <row r="161" spans="1:7" x14ac:dyDescent="0.3">
      <c r="A161" s="280" t="s">
        <v>85</v>
      </c>
      <c r="B161" s="282"/>
      <c r="C161" s="281"/>
      <c r="D161" s="78" t="s">
        <v>39</v>
      </c>
      <c r="E161" s="20"/>
      <c r="F161" s="20"/>
      <c r="G161" s="20"/>
    </row>
    <row r="162" spans="1:7" x14ac:dyDescent="0.3">
      <c r="A162" s="275" t="s">
        <v>86</v>
      </c>
      <c r="B162" s="320"/>
      <c r="C162" s="320"/>
      <c r="D162" s="276"/>
      <c r="E162" s="20"/>
      <c r="F162" s="20"/>
      <c r="G162" s="20"/>
    </row>
    <row r="163" spans="1:7" x14ac:dyDescent="0.3">
      <c r="A163" s="156" t="s">
        <v>40</v>
      </c>
      <c r="B163" s="275" t="s">
        <v>87</v>
      </c>
      <c r="C163" s="276"/>
      <c r="D163" s="25">
        <f>D34</f>
        <v>2592.7835397727272</v>
      </c>
      <c r="E163" s="20"/>
      <c r="F163" s="20"/>
      <c r="G163" s="20"/>
    </row>
    <row r="164" spans="1:7" x14ac:dyDescent="0.3">
      <c r="A164" s="156" t="s">
        <v>19</v>
      </c>
      <c r="B164" s="275" t="s">
        <v>88</v>
      </c>
      <c r="C164" s="276"/>
      <c r="D164" s="25">
        <f>D70</f>
        <v>1844.6785812102271</v>
      </c>
      <c r="E164" s="20"/>
      <c r="F164" s="20"/>
      <c r="G164" s="20"/>
    </row>
    <row r="165" spans="1:7" x14ac:dyDescent="0.3">
      <c r="A165" s="156" t="s">
        <v>20</v>
      </c>
      <c r="B165" s="275" t="s">
        <v>89</v>
      </c>
      <c r="C165" s="276"/>
      <c r="D165" s="25">
        <f>D113</f>
        <v>248.5835070653755</v>
      </c>
      <c r="E165" s="20"/>
      <c r="F165" s="20"/>
      <c r="G165" s="20"/>
    </row>
    <row r="166" spans="1:7" x14ac:dyDescent="0.3">
      <c r="A166" s="156" t="s">
        <v>22</v>
      </c>
      <c r="B166" s="275" t="s">
        <v>90</v>
      </c>
      <c r="C166" s="276"/>
      <c r="D166" s="25">
        <f>D134</f>
        <v>317.52480596254162</v>
      </c>
      <c r="E166" s="20"/>
      <c r="F166" s="20"/>
      <c r="G166" s="20"/>
    </row>
    <row r="167" spans="1:7" x14ac:dyDescent="0.3">
      <c r="A167" s="156" t="s">
        <v>25</v>
      </c>
      <c r="B167" s="275" t="s">
        <v>91</v>
      </c>
      <c r="C167" s="276"/>
      <c r="D167" s="25">
        <f>D143</f>
        <v>139.9807222222222</v>
      </c>
      <c r="E167" s="20"/>
      <c r="F167" s="20"/>
      <c r="G167" s="20"/>
    </row>
    <row r="168" spans="1:7" x14ac:dyDescent="0.3">
      <c r="A168" s="321" t="s">
        <v>92</v>
      </c>
      <c r="B168" s="322"/>
      <c r="C168" s="323"/>
      <c r="D168" s="25">
        <f>SUM(D163:D167)</f>
        <v>5143.5511562330948</v>
      </c>
      <c r="E168" s="20"/>
      <c r="F168" s="20"/>
      <c r="G168" s="20"/>
    </row>
    <row r="169" spans="1:7" x14ac:dyDescent="0.3">
      <c r="A169" s="156" t="s">
        <v>93</v>
      </c>
      <c r="B169" s="275" t="s">
        <v>94</v>
      </c>
      <c r="C169" s="276"/>
      <c r="D169" s="25">
        <f>D159</f>
        <v>1005.4632534081188</v>
      </c>
      <c r="E169" s="20"/>
      <c r="F169" s="20"/>
      <c r="G169" s="20"/>
    </row>
    <row r="170" spans="1:7" x14ac:dyDescent="0.3">
      <c r="A170" s="280" t="s">
        <v>95</v>
      </c>
      <c r="B170" s="282"/>
      <c r="C170" s="281"/>
      <c r="D170" s="124">
        <f xml:space="preserve"> D168+D169</f>
        <v>6149.0144096412132</v>
      </c>
      <c r="E170" s="20"/>
      <c r="F170" s="20"/>
      <c r="G170" s="20"/>
    </row>
    <row r="171" spans="1:7" x14ac:dyDescent="0.3">
      <c r="A171" s="20"/>
      <c r="B171" s="20"/>
      <c r="C171" s="20"/>
      <c r="D171" s="20"/>
      <c r="E171" s="20"/>
      <c r="F171" s="20"/>
      <c r="G171" s="20"/>
    </row>
    <row r="172" spans="1:7" x14ac:dyDescent="0.3">
      <c r="A172" s="324" t="s">
        <v>3</v>
      </c>
      <c r="B172" s="325"/>
      <c r="C172" s="326"/>
      <c r="D172" s="79" t="s">
        <v>2</v>
      </c>
      <c r="E172" s="20"/>
      <c r="F172" s="20"/>
      <c r="G172" s="20"/>
    </row>
    <row r="173" spans="1:7" x14ac:dyDescent="0.3">
      <c r="A173" s="327" t="s">
        <v>113</v>
      </c>
      <c r="B173" s="328"/>
      <c r="C173" s="329"/>
      <c r="D173" s="80">
        <f>C17</f>
        <v>2</v>
      </c>
      <c r="E173" s="20"/>
      <c r="F173" s="20"/>
      <c r="G173" s="20"/>
    </row>
    <row r="174" spans="1:7" x14ac:dyDescent="0.3">
      <c r="A174" s="327" t="s">
        <v>0</v>
      </c>
      <c r="B174" s="328"/>
      <c r="C174" s="329"/>
      <c r="D174" s="90">
        <f>D173*D170</f>
        <v>12298.028819282426</v>
      </c>
      <c r="E174" s="20"/>
      <c r="F174" s="20"/>
      <c r="G174" s="20"/>
    </row>
    <row r="175" spans="1:7" x14ac:dyDescent="0.3">
      <c r="A175" s="20"/>
      <c r="B175" s="20"/>
      <c r="C175" s="20"/>
      <c r="D175" s="20"/>
      <c r="E175" s="20"/>
      <c r="F175" s="20"/>
      <c r="G175" s="20"/>
    </row>
    <row r="176" spans="1:7" x14ac:dyDescent="0.3">
      <c r="A176" s="20"/>
      <c r="B176" s="20"/>
      <c r="C176" s="20"/>
      <c r="D176" s="20"/>
      <c r="E176" s="20"/>
      <c r="F176" s="20"/>
      <c r="G176" s="20"/>
    </row>
  </sheetData>
  <mergeCells count="96">
    <mergeCell ref="C10:D10"/>
    <mergeCell ref="A1:D1"/>
    <mergeCell ref="A2:B2"/>
    <mergeCell ref="C2:D2"/>
    <mergeCell ref="A3:B3"/>
    <mergeCell ref="C3:D3"/>
    <mergeCell ref="A4:D4"/>
    <mergeCell ref="A5:D5"/>
    <mergeCell ref="C6:D6"/>
    <mergeCell ref="C7:D7"/>
    <mergeCell ref="C8:D8"/>
    <mergeCell ref="C9:D9"/>
    <mergeCell ref="B22:C22"/>
    <mergeCell ref="C11:D11"/>
    <mergeCell ref="C12:D12"/>
    <mergeCell ref="A13:D13"/>
    <mergeCell ref="A14:D14"/>
    <mergeCell ref="A15:D15"/>
    <mergeCell ref="C16:D16"/>
    <mergeCell ref="C17:D17"/>
    <mergeCell ref="C18:D18"/>
    <mergeCell ref="A19:D19"/>
    <mergeCell ref="B20:C20"/>
    <mergeCell ref="B21:C21"/>
    <mergeCell ref="A54:D54"/>
    <mergeCell ref="A23:D23"/>
    <mergeCell ref="A24:D24"/>
    <mergeCell ref="A25:D25"/>
    <mergeCell ref="B26:C26"/>
    <mergeCell ref="A34:C34"/>
    <mergeCell ref="A35:D35"/>
    <mergeCell ref="A36:D36"/>
    <mergeCell ref="A37:D37"/>
    <mergeCell ref="A42:B42"/>
    <mergeCell ref="A43:D43"/>
    <mergeCell ref="A53:B53"/>
    <mergeCell ref="A104:B104"/>
    <mergeCell ref="A64:C64"/>
    <mergeCell ref="A65:D65"/>
    <mergeCell ref="A66:B66"/>
    <mergeCell ref="A70:C70"/>
    <mergeCell ref="A71:D71"/>
    <mergeCell ref="A72:D72"/>
    <mergeCell ref="A73:D73"/>
    <mergeCell ref="A86:B86"/>
    <mergeCell ref="A87:D87"/>
    <mergeCell ref="A98:B98"/>
    <mergeCell ref="A99:D99"/>
    <mergeCell ref="A129:B129"/>
    <mergeCell ref="A105:D105"/>
    <mergeCell ref="A106:B106"/>
    <mergeCell ref="A109:C109"/>
    <mergeCell ref="A110:B110"/>
    <mergeCell ref="A111:B111"/>
    <mergeCell ref="A113:B113"/>
    <mergeCell ref="A114:D114"/>
    <mergeCell ref="A115:D115"/>
    <mergeCell ref="A116:D116"/>
    <mergeCell ref="A120:B120"/>
    <mergeCell ref="A121:D121"/>
    <mergeCell ref="A143:C143"/>
    <mergeCell ref="A130:D130"/>
    <mergeCell ref="A131:B131"/>
    <mergeCell ref="A134:C134"/>
    <mergeCell ref="A135:D135"/>
    <mergeCell ref="A136:D136"/>
    <mergeCell ref="A137:D137"/>
    <mergeCell ref="B138:C138"/>
    <mergeCell ref="B139:C139"/>
    <mergeCell ref="B140:C140"/>
    <mergeCell ref="B141:C141"/>
    <mergeCell ref="B142:C142"/>
    <mergeCell ref="A161:C161"/>
    <mergeCell ref="A144:D144"/>
    <mergeCell ref="A145:C145"/>
    <mergeCell ref="A146:D146"/>
    <mergeCell ref="A147:D147"/>
    <mergeCell ref="A148:D148"/>
    <mergeCell ref="A151:C151"/>
    <mergeCell ref="A153:C153"/>
    <mergeCell ref="B154:D154"/>
    <mergeCell ref="A158:B158"/>
    <mergeCell ref="A159:B159"/>
    <mergeCell ref="A160:D160"/>
    <mergeCell ref="A174:C174"/>
    <mergeCell ref="A162:D162"/>
    <mergeCell ref="B163:C163"/>
    <mergeCell ref="B164:C164"/>
    <mergeCell ref="B165:C165"/>
    <mergeCell ref="B166:C166"/>
    <mergeCell ref="B167:C167"/>
    <mergeCell ref="A168:C168"/>
    <mergeCell ref="B169:C169"/>
    <mergeCell ref="A170:C170"/>
    <mergeCell ref="A172:C172"/>
    <mergeCell ref="A173:C17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BB3DD8-C789-432D-AFDA-A999E9AD8E8B}">
  <sheetPr codeName="Planilha7"/>
  <dimension ref="A1:WVO176"/>
  <sheetViews>
    <sheetView zoomScale="85" zoomScaleNormal="85" workbookViewId="0">
      <selection activeCell="A13" sqref="A13:D13"/>
    </sheetView>
  </sheetViews>
  <sheetFormatPr defaultColWidth="0" defaultRowHeight="15.75" customHeight="1" zeroHeight="1" outlineLevelRow="2" x14ac:dyDescent="0.3"/>
  <cols>
    <col min="1" max="1" width="18.7109375" style="21" customWidth="1"/>
    <col min="2" max="2" width="72" style="21" customWidth="1"/>
    <col min="3" max="3" width="22.85546875" style="21" customWidth="1"/>
    <col min="4" max="4" width="29.85546875" style="21" customWidth="1"/>
    <col min="5" max="5" width="11.85546875" style="81" customWidth="1"/>
    <col min="6" max="6" width="9.140625" style="81" customWidth="1"/>
    <col min="7" max="254" width="9.140625" style="81" hidden="1"/>
    <col min="255" max="255" width="18.7109375" style="81" hidden="1"/>
    <col min="256" max="256" width="72" style="81" hidden="1"/>
    <col min="257" max="257" width="22.85546875" style="81" hidden="1"/>
    <col min="258" max="258" width="29.85546875" style="81" hidden="1"/>
    <col min="259" max="260" width="9.140625" style="81" hidden="1"/>
    <col min="261" max="261" width="15.42578125" style="81" hidden="1"/>
    <col min="262" max="510" width="9.140625" style="81" hidden="1"/>
    <col min="511" max="511" width="18.7109375" style="81" hidden="1"/>
    <col min="512" max="512" width="72" style="81" hidden="1"/>
    <col min="513" max="513" width="22.85546875" style="81" hidden="1"/>
    <col min="514" max="514" width="29.85546875" style="81" hidden="1"/>
    <col min="515" max="516" width="9.140625" style="81" hidden="1"/>
    <col min="517" max="517" width="15.42578125" style="81" hidden="1"/>
    <col min="518" max="766" width="9.140625" style="81" hidden="1"/>
    <col min="767" max="767" width="18.7109375" style="81" hidden="1"/>
    <col min="768" max="768" width="72" style="81" hidden="1"/>
    <col min="769" max="769" width="22.85546875" style="81" hidden="1"/>
    <col min="770" max="770" width="29.85546875" style="81" hidden="1"/>
    <col min="771" max="772" width="9.140625" style="81" hidden="1"/>
    <col min="773" max="773" width="15.42578125" style="81" hidden="1"/>
    <col min="774" max="1022" width="9.140625" style="81" hidden="1"/>
    <col min="1023" max="1023" width="18.7109375" style="81" hidden="1"/>
    <col min="1024" max="1024" width="72" style="81" hidden="1"/>
    <col min="1025" max="1025" width="22.85546875" style="81" hidden="1"/>
    <col min="1026" max="1026" width="29.85546875" style="81" hidden="1"/>
    <col min="1027" max="1028" width="9.140625" style="81" hidden="1"/>
    <col min="1029" max="1029" width="15.42578125" style="81" hidden="1"/>
    <col min="1030" max="1278" width="9.140625" style="81" hidden="1"/>
    <col min="1279" max="1279" width="18.7109375" style="81" hidden="1"/>
    <col min="1280" max="1280" width="72" style="81" hidden="1"/>
    <col min="1281" max="1281" width="22.85546875" style="81" hidden="1"/>
    <col min="1282" max="1282" width="29.85546875" style="81" hidden="1"/>
    <col min="1283" max="1284" width="9.140625" style="81" hidden="1"/>
    <col min="1285" max="1285" width="15.42578125" style="81" hidden="1"/>
    <col min="1286" max="1534" width="9.140625" style="81" hidden="1"/>
    <col min="1535" max="1535" width="18.7109375" style="81" hidden="1"/>
    <col min="1536" max="1536" width="72" style="81" hidden="1"/>
    <col min="1537" max="1537" width="22.85546875" style="81" hidden="1"/>
    <col min="1538" max="1538" width="29.85546875" style="81" hidden="1"/>
    <col min="1539" max="1540" width="9.140625" style="81" hidden="1"/>
    <col min="1541" max="1541" width="15.42578125" style="81" hidden="1"/>
    <col min="1542" max="1790" width="9.140625" style="81" hidden="1"/>
    <col min="1791" max="1791" width="18.7109375" style="81" hidden="1"/>
    <col min="1792" max="1792" width="72" style="81" hidden="1"/>
    <col min="1793" max="1793" width="22.85546875" style="81" hidden="1"/>
    <col min="1794" max="1794" width="29.85546875" style="81" hidden="1"/>
    <col min="1795" max="1796" width="9.140625" style="81" hidden="1"/>
    <col min="1797" max="1797" width="15.42578125" style="81" hidden="1"/>
    <col min="1798" max="2046" width="9.140625" style="81" hidden="1"/>
    <col min="2047" max="2047" width="18.7109375" style="81" hidden="1"/>
    <col min="2048" max="2048" width="72" style="81" hidden="1"/>
    <col min="2049" max="2049" width="22.85546875" style="81" hidden="1"/>
    <col min="2050" max="2050" width="29.85546875" style="81" hidden="1"/>
    <col min="2051" max="2052" width="9.140625" style="81" hidden="1"/>
    <col min="2053" max="2053" width="15.42578125" style="81" hidden="1"/>
    <col min="2054" max="2302" width="9.140625" style="81" hidden="1"/>
    <col min="2303" max="2303" width="18.7109375" style="81" hidden="1"/>
    <col min="2304" max="2304" width="72" style="81" hidden="1"/>
    <col min="2305" max="2305" width="22.85546875" style="81" hidden="1"/>
    <col min="2306" max="2306" width="29.85546875" style="81" hidden="1"/>
    <col min="2307" max="2308" width="9.140625" style="81" hidden="1"/>
    <col min="2309" max="2309" width="15.42578125" style="81" hidden="1"/>
    <col min="2310" max="2558" width="9.140625" style="81" hidden="1"/>
    <col min="2559" max="2559" width="18.7109375" style="81" hidden="1"/>
    <col min="2560" max="2560" width="72" style="81" hidden="1"/>
    <col min="2561" max="2561" width="22.85546875" style="81" hidden="1"/>
    <col min="2562" max="2562" width="29.85546875" style="81" hidden="1"/>
    <col min="2563" max="2564" width="9.140625" style="81" hidden="1"/>
    <col min="2565" max="2565" width="15.42578125" style="81" hidden="1"/>
    <col min="2566" max="2814" width="9.140625" style="81" hidden="1"/>
    <col min="2815" max="2815" width="18.7109375" style="81" hidden="1"/>
    <col min="2816" max="2816" width="72" style="81" hidden="1"/>
    <col min="2817" max="2817" width="22.85546875" style="81" hidden="1"/>
    <col min="2818" max="2818" width="29.85546875" style="81" hidden="1"/>
    <col min="2819" max="2820" width="9.140625" style="81" hidden="1"/>
    <col min="2821" max="2821" width="15.42578125" style="81" hidden="1"/>
    <col min="2822" max="3070" width="9.140625" style="81" hidden="1"/>
    <col min="3071" max="3071" width="18.7109375" style="81" hidden="1"/>
    <col min="3072" max="3072" width="72" style="81" hidden="1"/>
    <col min="3073" max="3073" width="22.85546875" style="81" hidden="1"/>
    <col min="3074" max="3074" width="29.85546875" style="81" hidden="1"/>
    <col min="3075" max="3076" width="9.140625" style="81" hidden="1"/>
    <col min="3077" max="3077" width="15.42578125" style="81" hidden="1"/>
    <col min="3078" max="3326" width="9.140625" style="81" hidden="1"/>
    <col min="3327" max="3327" width="18.7109375" style="81" hidden="1"/>
    <col min="3328" max="3328" width="72" style="81" hidden="1"/>
    <col min="3329" max="3329" width="22.85546875" style="81" hidden="1"/>
    <col min="3330" max="3330" width="29.85546875" style="81" hidden="1"/>
    <col min="3331" max="3332" width="9.140625" style="81" hidden="1"/>
    <col min="3333" max="3333" width="15.42578125" style="81" hidden="1"/>
    <col min="3334" max="3582" width="9.140625" style="81" hidden="1"/>
    <col min="3583" max="3583" width="18.7109375" style="81" hidden="1"/>
    <col min="3584" max="3584" width="72" style="81" hidden="1"/>
    <col min="3585" max="3585" width="22.85546875" style="81" hidden="1"/>
    <col min="3586" max="3586" width="29.85546875" style="81" hidden="1"/>
    <col min="3587" max="3588" width="9.140625" style="81" hidden="1"/>
    <col min="3589" max="3589" width="15.42578125" style="81" hidden="1"/>
    <col min="3590" max="3838" width="9.140625" style="81" hidden="1"/>
    <col min="3839" max="3839" width="18.7109375" style="81" hidden="1"/>
    <col min="3840" max="3840" width="72" style="81" hidden="1"/>
    <col min="3841" max="3841" width="22.85546875" style="81" hidden="1"/>
    <col min="3842" max="3842" width="29.85546875" style="81" hidden="1"/>
    <col min="3843" max="3844" width="9.140625" style="81" hidden="1"/>
    <col min="3845" max="3845" width="15.42578125" style="81" hidden="1"/>
    <col min="3846" max="4094" width="9.140625" style="81" hidden="1"/>
    <col min="4095" max="4095" width="18.7109375" style="81" hidden="1"/>
    <col min="4096" max="4096" width="72" style="81" hidden="1"/>
    <col min="4097" max="4097" width="22.85546875" style="81" hidden="1"/>
    <col min="4098" max="4098" width="29.85546875" style="81" hidden="1"/>
    <col min="4099" max="4100" width="9.140625" style="81" hidden="1"/>
    <col min="4101" max="4101" width="15.42578125" style="81" hidden="1"/>
    <col min="4102" max="4350" width="9.140625" style="81" hidden="1"/>
    <col min="4351" max="4351" width="18.7109375" style="81" hidden="1"/>
    <col min="4352" max="4352" width="72" style="81" hidden="1"/>
    <col min="4353" max="4353" width="22.85546875" style="81" hidden="1"/>
    <col min="4354" max="4354" width="29.85546875" style="81" hidden="1"/>
    <col min="4355" max="4356" width="9.140625" style="81" hidden="1"/>
    <col min="4357" max="4357" width="15.42578125" style="81" hidden="1"/>
    <col min="4358" max="4606" width="9.140625" style="81" hidden="1"/>
    <col min="4607" max="4607" width="18.7109375" style="81" hidden="1"/>
    <col min="4608" max="4608" width="72" style="81" hidden="1"/>
    <col min="4609" max="4609" width="22.85546875" style="81" hidden="1"/>
    <col min="4610" max="4610" width="29.85546875" style="81" hidden="1"/>
    <col min="4611" max="4612" width="9.140625" style="81" hidden="1"/>
    <col min="4613" max="4613" width="15.42578125" style="81" hidden="1"/>
    <col min="4614" max="4862" width="9.140625" style="81" hidden="1"/>
    <col min="4863" max="4863" width="18.7109375" style="81" hidden="1"/>
    <col min="4864" max="4864" width="72" style="81" hidden="1"/>
    <col min="4865" max="4865" width="22.85546875" style="81" hidden="1"/>
    <col min="4866" max="4866" width="29.85546875" style="81" hidden="1"/>
    <col min="4867" max="4868" width="9.140625" style="81" hidden="1"/>
    <col min="4869" max="4869" width="15.42578125" style="81" hidden="1"/>
    <col min="4870" max="5118" width="9.140625" style="81" hidden="1"/>
    <col min="5119" max="5119" width="18.7109375" style="81" hidden="1"/>
    <col min="5120" max="5120" width="72" style="81" hidden="1"/>
    <col min="5121" max="5121" width="22.85546875" style="81" hidden="1"/>
    <col min="5122" max="5122" width="29.85546875" style="81" hidden="1"/>
    <col min="5123" max="5124" width="9.140625" style="81" hidden="1"/>
    <col min="5125" max="5125" width="15.42578125" style="81" hidden="1"/>
    <col min="5126" max="5374" width="9.140625" style="81" hidden="1"/>
    <col min="5375" max="5375" width="18.7109375" style="81" hidden="1"/>
    <col min="5376" max="5376" width="72" style="81" hidden="1"/>
    <col min="5377" max="5377" width="22.85546875" style="81" hidden="1"/>
    <col min="5378" max="5378" width="29.85546875" style="81" hidden="1"/>
    <col min="5379" max="5380" width="9.140625" style="81" hidden="1"/>
    <col min="5381" max="5381" width="15.42578125" style="81" hidden="1"/>
    <col min="5382" max="5630" width="9.140625" style="81" hidden="1"/>
    <col min="5631" max="5631" width="18.7109375" style="81" hidden="1"/>
    <col min="5632" max="5632" width="72" style="81" hidden="1"/>
    <col min="5633" max="5633" width="22.85546875" style="81" hidden="1"/>
    <col min="5634" max="5634" width="29.85546875" style="81" hidden="1"/>
    <col min="5635" max="5636" width="9.140625" style="81" hidden="1"/>
    <col min="5637" max="5637" width="15.42578125" style="81" hidden="1"/>
    <col min="5638" max="5886" width="9.140625" style="81" hidden="1"/>
    <col min="5887" max="5887" width="18.7109375" style="81" hidden="1"/>
    <col min="5888" max="5888" width="72" style="81" hidden="1"/>
    <col min="5889" max="5889" width="22.85546875" style="81" hidden="1"/>
    <col min="5890" max="5890" width="29.85546875" style="81" hidden="1"/>
    <col min="5891" max="5892" width="9.140625" style="81" hidden="1"/>
    <col min="5893" max="5893" width="15.42578125" style="81" hidden="1"/>
    <col min="5894" max="6142" width="9.140625" style="81" hidden="1"/>
    <col min="6143" max="6143" width="18.7109375" style="81" hidden="1"/>
    <col min="6144" max="6144" width="72" style="81" hidden="1"/>
    <col min="6145" max="6145" width="22.85546875" style="81" hidden="1"/>
    <col min="6146" max="6146" width="29.85546875" style="81" hidden="1"/>
    <col min="6147" max="6148" width="9.140625" style="81" hidden="1"/>
    <col min="6149" max="6149" width="15.42578125" style="81" hidden="1"/>
    <col min="6150" max="6398" width="9.140625" style="81" hidden="1"/>
    <col min="6399" max="6399" width="18.7109375" style="81" hidden="1"/>
    <col min="6400" max="6400" width="72" style="81" hidden="1"/>
    <col min="6401" max="6401" width="22.85546875" style="81" hidden="1"/>
    <col min="6402" max="6402" width="29.85546875" style="81" hidden="1"/>
    <col min="6403" max="6404" width="9.140625" style="81" hidden="1"/>
    <col min="6405" max="6405" width="15.42578125" style="81" hidden="1"/>
    <col min="6406" max="6654" width="9.140625" style="81" hidden="1"/>
    <col min="6655" max="6655" width="18.7109375" style="81" hidden="1"/>
    <col min="6656" max="6656" width="72" style="81" hidden="1"/>
    <col min="6657" max="6657" width="22.85546875" style="81" hidden="1"/>
    <col min="6658" max="6658" width="29.85546875" style="81" hidden="1"/>
    <col min="6659" max="6660" width="9.140625" style="81" hidden="1"/>
    <col min="6661" max="6661" width="15.42578125" style="81" hidden="1"/>
    <col min="6662" max="6910" width="9.140625" style="81" hidden="1"/>
    <col min="6911" max="6911" width="18.7109375" style="81" hidden="1"/>
    <col min="6912" max="6912" width="72" style="81" hidden="1"/>
    <col min="6913" max="6913" width="22.85546875" style="81" hidden="1"/>
    <col min="6914" max="6914" width="29.85546875" style="81" hidden="1"/>
    <col min="6915" max="6916" width="9.140625" style="81" hidden="1"/>
    <col min="6917" max="6917" width="15.42578125" style="81" hidden="1"/>
    <col min="6918" max="7166" width="9.140625" style="81" hidden="1"/>
    <col min="7167" max="7167" width="18.7109375" style="81" hidden="1"/>
    <col min="7168" max="7168" width="72" style="81" hidden="1"/>
    <col min="7169" max="7169" width="22.85546875" style="81" hidden="1"/>
    <col min="7170" max="7170" width="29.85546875" style="81" hidden="1"/>
    <col min="7171" max="7172" width="9.140625" style="81" hidden="1"/>
    <col min="7173" max="7173" width="15.42578125" style="81" hidden="1"/>
    <col min="7174" max="7422" width="9.140625" style="81" hidden="1"/>
    <col min="7423" max="7423" width="18.7109375" style="81" hidden="1"/>
    <col min="7424" max="7424" width="72" style="81" hidden="1"/>
    <col min="7425" max="7425" width="22.85546875" style="81" hidden="1"/>
    <col min="7426" max="7426" width="29.85546875" style="81" hidden="1"/>
    <col min="7427" max="7428" width="9.140625" style="81" hidden="1"/>
    <col min="7429" max="7429" width="15.42578125" style="81" hidden="1"/>
    <col min="7430" max="7678" width="9.140625" style="81" hidden="1"/>
    <col min="7679" max="7679" width="18.7109375" style="81" hidden="1"/>
    <col min="7680" max="7680" width="72" style="81" hidden="1"/>
    <col min="7681" max="7681" width="22.85546875" style="81" hidden="1"/>
    <col min="7682" max="7682" width="29.85546875" style="81" hidden="1"/>
    <col min="7683" max="7684" width="9.140625" style="81" hidden="1"/>
    <col min="7685" max="7685" width="15.42578125" style="81" hidden="1"/>
    <col min="7686" max="7934" width="9.140625" style="81" hidden="1"/>
    <col min="7935" max="7935" width="18.7109375" style="81" hidden="1"/>
    <col min="7936" max="7936" width="72" style="81" hidden="1"/>
    <col min="7937" max="7937" width="22.85546875" style="81" hidden="1"/>
    <col min="7938" max="7938" width="29.85546875" style="81" hidden="1"/>
    <col min="7939" max="7940" width="9.140625" style="81" hidden="1"/>
    <col min="7941" max="7941" width="15.42578125" style="81" hidden="1"/>
    <col min="7942" max="8190" width="9.140625" style="81" hidden="1"/>
    <col min="8191" max="8191" width="18.7109375" style="81" hidden="1"/>
    <col min="8192" max="8192" width="72" style="81" hidden="1"/>
    <col min="8193" max="8193" width="22.85546875" style="81" hidden="1"/>
    <col min="8194" max="8194" width="29.85546875" style="81" hidden="1"/>
    <col min="8195" max="8196" width="9.140625" style="81" hidden="1"/>
    <col min="8197" max="8197" width="15.42578125" style="81" hidden="1"/>
    <col min="8198" max="8446" width="9.140625" style="81" hidden="1"/>
    <col min="8447" max="8447" width="18.7109375" style="81" hidden="1"/>
    <col min="8448" max="8448" width="72" style="81" hidden="1"/>
    <col min="8449" max="8449" width="22.85546875" style="81" hidden="1"/>
    <col min="8450" max="8450" width="29.85546875" style="81" hidden="1"/>
    <col min="8451" max="8452" width="9.140625" style="81" hidden="1"/>
    <col min="8453" max="8453" width="15.42578125" style="81" hidden="1"/>
    <col min="8454" max="8702" width="9.140625" style="81" hidden="1"/>
    <col min="8703" max="8703" width="18.7109375" style="81" hidden="1"/>
    <col min="8704" max="8704" width="72" style="81" hidden="1"/>
    <col min="8705" max="8705" width="22.85546875" style="81" hidden="1"/>
    <col min="8706" max="8706" width="29.85546875" style="81" hidden="1"/>
    <col min="8707" max="8708" width="9.140625" style="81" hidden="1"/>
    <col min="8709" max="8709" width="15.42578125" style="81" hidden="1"/>
    <col min="8710" max="8958" width="9.140625" style="81" hidden="1"/>
    <col min="8959" max="8959" width="18.7109375" style="81" hidden="1"/>
    <col min="8960" max="8960" width="72" style="81" hidden="1"/>
    <col min="8961" max="8961" width="22.85546875" style="81" hidden="1"/>
    <col min="8962" max="8962" width="29.85546875" style="81" hidden="1"/>
    <col min="8963" max="8964" width="9.140625" style="81" hidden="1"/>
    <col min="8965" max="8965" width="15.42578125" style="81" hidden="1"/>
    <col min="8966" max="9214" width="9.140625" style="81" hidden="1"/>
    <col min="9215" max="9215" width="18.7109375" style="81" hidden="1"/>
    <col min="9216" max="9216" width="72" style="81" hidden="1"/>
    <col min="9217" max="9217" width="22.85546875" style="81" hidden="1"/>
    <col min="9218" max="9218" width="29.85546875" style="81" hidden="1"/>
    <col min="9219" max="9220" width="9.140625" style="81" hidden="1"/>
    <col min="9221" max="9221" width="15.42578125" style="81" hidden="1"/>
    <col min="9222" max="9470" width="9.140625" style="81" hidden="1"/>
    <col min="9471" max="9471" width="18.7109375" style="81" hidden="1"/>
    <col min="9472" max="9472" width="72" style="81" hidden="1"/>
    <col min="9473" max="9473" width="22.85546875" style="81" hidden="1"/>
    <col min="9474" max="9474" width="29.85546875" style="81" hidden="1"/>
    <col min="9475" max="9476" width="9.140625" style="81" hidden="1"/>
    <col min="9477" max="9477" width="15.42578125" style="81" hidden="1"/>
    <col min="9478" max="9726" width="9.140625" style="81" hidden="1"/>
    <col min="9727" max="9727" width="18.7109375" style="81" hidden="1"/>
    <col min="9728" max="9728" width="72" style="81" hidden="1"/>
    <col min="9729" max="9729" width="22.85546875" style="81" hidden="1"/>
    <col min="9730" max="9730" width="29.85546875" style="81" hidden="1"/>
    <col min="9731" max="9732" width="9.140625" style="81" hidden="1"/>
    <col min="9733" max="9733" width="15.42578125" style="81" hidden="1"/>
    <col min="9734" max="9982" width="9.140625" style="81" hidden="1"/>
    <col min="9983" max="9983" width="18.7109375" style="81" hidden="1"/>
    <col min="9984" max="9984" width="72" style="81" hidden="1"/>
    <col min="9985" max="9985" width="22.85546875" style="81" hidden="1"/>
    <col min="9986" max="9986" width="29.85546875" style="81" hidden="1"/>
    <col min="9987" max="9988" width="9.140625" style="81" hidden="1"/>
    <col min="9989" max="9989" width="15.42578125" style="81" hidden="1"/>
    <col min="9990" max="10238" width="9.140625" style="81" hidden="1"/>
    <col min="10239" max="10239" width="18.7109375" style="81" hidden="1"/>
    <col min="10240" max="10240" width="72" style="81" hidden="1"/>
    <col min="10241" max="10241" width="22.85546875" style="81" hidden="1"/>
    <col min="10242" max="10242" width="29.85546875" style="81" hidden="1"/>
    <col min="10243" max="10244" width="9.140625" style="81" hidden="1"/>
    <col min="10245" max="10245" width="15.42578125" style="81" hidden="1"/>
    <col min="10246" max="10494" width="9.140625" style="81" hidden="1"/>
    <col min="10495" max="10495" width="18.7109375" style="81" hidden="1"/>
    <col min="10496" max="10496" width="72" style="81" hidden="1"/>
    <col min="10497" max="10497" width="22.85546875" style="81" hidden="1"/>
    <col min="10498" max="10498" width="29.85546875" style="81" hidden="1"/>
    <col min="10499" max="10500" width="9.140625" style="81" hidden="1"/>
    <col min="10501" max="10501" width="15.42578125" style="81" hidden="1"/>
    <col min="10502" max="10750" width="9.140625" style="81" hidden="1"/>
    <col min="10751" max="10751" width="18.7109375" style="81" hidden="1"/>
    <col min="10752" max="10752" width="72" style="81" hidden="1"/>
    <col min="10753" max="10753" width="22.85546875" style="81" hidden="1"/>
    <col min="10754" max="10754" width="29.85546875" style="81" hidden="1"/>
    <col min="10755" max="10756" width="9.140625" style="81" hidden="1"/>
    <col min="10757" max="10757" width="15.42578125" style="81" hidden="1"/>
    <col min="10758" max="11006" width="9.140625" style="81" hidden="1"/>
    <col min="11007" max="11007" width="18.7109375" style="81" hidden="1"/>
    <col min="11008" max="11008" width="72" style="81" hidden="1"/>
    <col min="11009" max="11009" width="22.85546875" style="81" hidden="1"/>
    <col min="11010" max="11010" width="29.85546875" style="81" hidden="1"/>
    <col min="11011" max="11012" width="9.140625" style="81" hidden="1"/>
    <col min="11013" max="11013" width="15.42578125" style="81" hidden="1"/>
    <col min="11014" max="11262" width="9.140625" style="81" hidden="1"/>
    <col min="11263" max="11263" width="18.7109375" style="81" hidden="1"/>
    <col min="11264" max="11264" width="72" style="81" hidden="1"/>
    <col min="11265" max="11265" width="22.85546875" style="81" hidden="1"/>
    <col min="11266" max="11266" width="29.85546875" style="81" hidden="1"/>
    <col min="11267" max="11268" width="9.140625" style="81" hidden="1"/>
    <col min="11269" max="11269" width="15.42578125" style="81" hidden="1"/>
    <col min="11270" max="11518" width="9.140625" style="81" hidden="1"/>
    <col min="11519" max="11519" width="18.7109375" style="81" hidden="1"/>
    <col min="11520" max="11520" width="72" style="81" hidden="1"/>
    <col min="11521" max="11521" width="22.85546875" style="81" hidden="1"/>
    <col min="11522" max="11522" width="29.85546875" style="81" hidden="1"/>
    <col min="11523" max="11524" width="9.140625" style="81" hidden="1"/>
    <col min="11525" max="11525" width="15.42578125" style="81" hidden="1"/>
    <col min="11526" max="11774" width="9.140625" style="81" hidden="1"/>
    <col min="11775" max="11775" width="18.7109375" style="81" hidden="1"/>
    <col min="11776" max="11776" width="72" style="81" hidden="1"/>
    <col min="11777" max="11777" width="22.85546875" style="81" hidden="1"/>
    <col min="11778" max="11778" width="29.85546875" style="81" hidden="1"/>
    <col min="11779" max="11780" width="9.140625" style="81" hidden="1"/>
    <col min="11781" max="11781" width="15.42578125" style="81" hidden="1"/>
    <col min="11782" max="12030" width="9.140625" style="81" hidden="1"/>
    <col min="12031" max="12031" width="18.7109375" style="81" hidden="1"/>
    <col min="12032" max="12032" width="72" style="81" hidden="1"/>
    <col min="12033" max="12033" width="22.85546875" style="81" hidden="1"/>
    <col min="12034" max="12034" width="29.85546875" style="81" hidden="1"/>
    <col min="12035" max="12036" width="9.140625" style="81" hidden="1"/>
    <col min="12037" max="12037" width="15.42578125" style="81" hidden="1"/>
    <col min="12038" max="12286" width="9.140625" style="81" hidden="1"/>
    <col min="12287" max="12287" width="18.7109375" style="81" hidden="1"/>
    <col min="12288" max="12288" width="72" style="81" hidden="1"/>
    <col min="12289" max="12289" width="22.85546875" style="81" hidden="1"/>
    <col min="12290" max="12290" width="29.85546875" style="81" hidden="1"/>
    <col min="12291" max="12292" width="9.140625" style="81" hidden="1"/>
    <col min="12293" max="12293" width="15.42578125" style="81" hidden="1"/>
    <col min="12294" max="12542" width="9.140625" style="81" hidden="1"/>
    <col min="12543" max="12543" width="18.7109375" style="81" hidden="1"/>
    <col min="12544" max="12544" width="72" style="81" hidden="1"/>
    <col min="12545" max="12545" width="22.85546875" style="81" hidden="1"/>
    <col min="12546" max="12546" width="29.85546875" style="81" hidden="1"/>
    <col min="12547" max="12548" width="9.140625" style="81" hidden="1"/>
    <col min="12549" max="12549" width="15.42578125" style="81" hidden="1"/>
    <col min="12550" max="12798" width="9.140625" style="81" hidden="1"/>
    <col min="12799" max="12799" width="18.7109375" style="81" hidden="1"/>
    <col min="12800" max="12800" width="72" style="81" hidden="1"/>
    <col min="12801" max="12801" width="22.85546875" style="81" hidden="1"/>
    <col min="12802" max="12802" width="29.85546875" style="81" hidden="1"/>
    <col min="12803" max="12804" width="9.140625" style="81" hidden="1"/>
    <col min="12805" max="12805" width="15.42578125" style="81" hidden="1"/>
    <col min="12806" max="13054" width="9.140625" style="81" hidden="1"/>
    <col min="13055" max="13055" width="18.7109375" style="81" hidden="1"/>
    <col min="13056" max="13056" width="72" style="81" hidden="1"/>
    <col min="13057" max="13057" width="22.85546875" style="81" hidden="1"/>
    <col min="13058" max="13058" width="29.85546875" style="81" hidden="1"/>
    <col min="13059" max="13060" width="9.140625" style="81" hidden="1"/>
    <col min="13061" max="13061" width="15.42578125" style="81" hidden="1"/>
    <col min="13062" max="13310" width="9.140625" style="81" hidden="1"/>
    <col min="13311" max="13311" width="18.7109375" style="81" hidden="1"/>
    <col min="13312" max="13312" width="72" style="81" hidden="1"/>
    <col min="13313" max="13313" width="22.85546875" style="81" hidden="1"/>
    <col min="13314" max="13314" width="29.85546875" style="81" hidden="1"/>
    <col min="13315" max="13316" width="9.140625" style="81" hidden="1"/>
    <col min="13317" max="13317" width="15.42578125" style="81" hidden="1"/>
    <col min="13318" max="13566" width="9.140625" style="81" hidden="1"/>
    <col min="13567" max="13567" width="18.7109375" style="81" hidden="1"/>
    <col min="13568" max="13568" width="72" style="81" hidden="1"/>
    <col min="13569" max="13569" width="22.85546875" style="81" hidden="1"/>
    <col min="13570" max="13570" width="29.85546875" style="81" hidden="1"/>
    <col min="13571" max="13572" width="9.140625" style="81" hidden="1"/>
    <col min="13573" max="13573" width="15.42578125" style="81" hidden="1"/>
    <col min="13574" max="13822" width="9.140625" style="81" hidden="1"/>
    <col min="13823" max="13823" width="18.7109375" style="81" hidden="1"/>
    <col min="13824" max="13824" width="72" style="81" hidden="1"/>
    <col min="13825" max="13825" width="22.85546875" style="81" hidden="1"/>
    <col min="13826" max="13826" width="29.85546875" style="81" hidden="1"/>
    <col min="13827" max="13828" width="9.140625" style="81" hidden="1"/>
    <col min="13829" max="13829" width="15.42578125" style="81" hidden="1"/>
    <col min="13830" max="14078" width="9.140625" style="81" hidden="1"/>
    <col min="14079" max="14079" width="18.7109375" style="81" hidden="1"/>
    <col min="14080" max="14080" width="72" style="81" hidden="1"/>
    <col min="14081" max="14081" width="22.85546875" style="81" hidden="1"/>
    <col min="14082" max="14082" width="29.85546875" style="81" hidden="1"/>
    <col min="14083" max="14084" width="9.140625" style="81" hidden="1"/>
    <col min="14085" max="14085" width="15.42578125" style="81" hidden="1"/>
    <col min="14086" max="14334" width="9.140625" style="81" hidden="1"/>
    <col min="14335" max="14335" width="18.7109375" style="81" hidden="1"/>
    <col min="14336" max="14336" width="72" style="81" hidden="1"/>
    <col min="14337" max="14337" width="22.85546875" style="81" hidden="1"/>
    <col min="14338" max="14338" width="29.85546875" style="81" hidden="1"/>
    <col min="14339" max="14340" width="9.140625" style="81" hidden="1"/>
    <col min="14341" max="14341" width="15.42578125" style="81" hidden="1"/>
    <col min="14342" max="14590" width="9.140625" style="81" hidden="1"/>
    <col min="14591" max="14591" width="18.7109375" style="81" hidden="1"/>
    <col min="14592" max="14592" width="72" style="81" hidden="1"/>
    <col min="14593" max="14593" width="22.85546875" style="81" hidden="1"/>
    <col min="14594" max="14594" width="29.85546875" style="81" hidden="1"/>
    <col min="14595" max="14596" width="9.140625" style="81" hidden="1"/>
    <col min="14597" max="14597" width="15.42578125" style="81" hidden="1"/>
    <col min="14598" max="14846" width="9.140625" style="81" hidden="1"/>
    <col min="14847" max="14847" width="18.7109375" style="81" hidden="1"/>
    <col min="14848" max="14848" width="72" style="81" hidden="1"/>
    <col min="14849" max="14849" width="22.85546875" style="81" hidden="1"/>
    <col min="14850" max="14850" width="29.85546875" style="81" hidden="1"/>
    <col min="14851" max="14852" width="9.140625" style="81" hidden="1"/>
    <col min="14853" max="14853" width="15.42578125" style="81" hidden="1"/>
    <col min="14854" max="15102" width="9.140625" style="81" hidden="1"/>
    <col min="15103" max="15103" width="18.7109375" style="81" hidden="1"/>
    <col min="15104" max="15104" width="72" style="81" hidden="1"/>
    <col min="15105" max="15105" width="22.85546875" style="81" hidden="1"/>
    <col min="15106" max="15106" width="29.85546875" style="81" hidden="1"/>
    <col min="15107" max="15108" width="9.140625" style="81" hidden="1"/>
    <col min="15109" max="15109" width="15.42578125" style="81" hidden="1"/>
    <col min="15110" max="15358" width="9.140625" style="81" hidden="1"/>
    <col min="15359" max="15359" width="18.7109375" style="81" hidden="1"/>
    <col min="15360" max="15360" width="72" style="81" hidden="1"/>
    <col min="15361" max="15361" width="22.85546875" style="81" hidden="1"/>
    <col min="15362" max="15362" width="29.85546875" style="81" hidden="1"/>
    <col min="15363" max="15364" width="9.140625" style="81" hidden="1"/>
    <col min="15365" max="15365" width="15.42578125" style="81" hidden="1"/>
    <col min="15366" max="15614" width="9.140625" style="81" hidden="1"/>
    <col min="15615" max="15615" width="18.7109375" style="81" hidden="1"/>
    <col min="15616" max="15616" width="72" style="81" hidden="1"/>
    <col min="15617" max="15617" width="22.85546875" style="81" hidden="1"/>
    <col min="15618" max="15618" width="29.85546875" style="81" hidden="1"/>
    <col min="15619" max="15620" width="9.140625" style="81" hidden="1"/>
    <col min="15621" max="15621" width="15.42578125" style="81" hidden="1"/>
    <col min="15622" max="15870" width="9.140625" style="81" hidden="1"/>
    <col min="15871" max="15871" width="18.7109375" style="81" hidden="1"/>
    <col min="15872" max="15872" width="72" style="81" hidden="1"/>
    <col min="15873" max="15873" width="22.85546875" style="81" hidden="1"/>
    <col min="15874" max="15874" width="29.85546875" style="81" hidden="1"/>
    <col min="15875" max="15876" width="9.140625" style="81" hidden="1"/>
    <col min="15877" max="15877" width="15.42578125" style="81" hidden="1"/>
    <col min="15878" max="16126" width="9.140625" style="81" hidden="1"/>
    <col min="16127" max="16127" width="18.7109375" style="81" hidden="1"/>
    <col min="16128" max="16128" width="72" style="81" hidden="1"/>
    <col min="16129" max="16129" width="22.85546875" style="81" hidden="1"/>
    <col min="16130" max="16130" width="29.85546875" style="81" hidden="1"/>
    <col min="16131" max="16132" width="9.140625" style="81" hidden="1"/>
    <col min="16133" max="16135" width="15.42578125" style="81" hidden="1"/>
    <col min="16136" max="16384" width="9.140625" style="81" hidden="1"/>
  </cols>
  <sheetData>
    <row r="1" spans="1:7" x14ac:dyDescent="0.3">
      <c r="A1" s="251" t="s">
        <v>9</v>
      </c>
      <c r="B1" s="251"/>
      <c r="C1" s="251"/>
      <c r="D1" s="251"/>
      <c r="E1" s="20"/>
      <c r="F1" s="20"/>
      <c r="G1" s="20"/>
    </row>
    <row r="2" spans="1:7" x14ac:dyDescent="0.3">
      <c r="A2" s="252" t="s">
        <v>15</v>
      </c>
      <c r="B2" s="252"/>
      <c r="C2" s="253" t="s">
        <v>221</v>
      </c>
      <c r="D2" s="254"/>
      <c r="E2" s="20"/>
      <c r="F2" s="20"/>
      <c r="G2" s="20"/>
    </row>
    <row r="3" spans="1:7" x14ac:dyDescent="0.3">
      <c r="A3" s="252" t="s">
        <v>16</v>
      </c>
      <c r="B3" s="252"/>
      <c r="C3" s="253" t="s">
        <v>198</v>
      </c>
      <c r="D3" s="254"/>
      <c r="E3" s="20"/>
      <c r="F3" s="20"/>
      <c r="G3" s="20"/>
    </row>
    <row r="4" spans="1:7" x14ac:dyDescent="0.3">
      <c r="A4" s="250"/>
      <c r="B4" s="250"/>
      <c r="C4" s="250"/>
      <c r="D4" s="250"/>
      <c r="E4" s="20"/>
      <c r="F4" s="20"/>
      <c r="G4" s="20"/>
    </row>
    <row r="5" spans="1:7" x14ac:dyDescent="0.3">
      <c r="A5" s="250" t="s">
        <v>17</v>
      </c>
      <c r="B5" s="250"/>
      <c r="C5" s="250"/>
      <c r="D5" s="250"/>
      <c r="E5" s="20"/>
      <c r="F5" s="20"/>
      <c r="G5" s="20"/>
    </row>
    <row r="6" spans="1:7" x14ac:dyDescent="0.3">
      <c r="A6" s="156" t="s">
        <v>18</v>
      </c>
      <c r="B6" s="158" t="s">
        <v>8</v>
      </c>
      <c r="C6" s="257" t="s">
        <v>96</v>
      </c>
      <c r="D6" s="258"/>
      <c r="E6" s="20"/>
      <c r="F6" s="20"/>
      <c r="G6" s="20"/>
    </row>
    <row r="7" spans="1:7" x14ac:dyDescent="0.3">
      <c r="A7" s="156" t="s">
        <v>19</v>
      </c>
      <c r="B7" s="158" t="s">
        <v>7</v>
      </c>
      <c r="C7" s="259" t="s">
        <v>254</v>
      </c>
      <c r="D7" s="259"/>
      <c r="E7" s="20"/>
      <c r="F7" s="20"/>
      <c r="G7" s="20"/>
    </row>
    <row r="8" spans="1:7" x14ac:dyDescent="0.3">
      <c r="A8" s="22" t="s">
        <v>20</v>
      </c>
      <c r="B8" s="23" t="s">
        <v>21</v>
      </c>
      <c r="C8" s="260" t="s">
        <v>222</v>
      </c>
      <c r="D8" s="261"/>
      <c r="E8" s="20"/>
      <c r="F8" s="20"/>
      <c r="G8" s="20"/>
    </row>
    <row r="9" spans="1:7" x14ac:dyDescent="0.3">
      <c r="A9" s="156" t="s">
        <v>22</v>
      </c>
      <c r="B9" s="158" t="s">
        <v>23</v>
      </c>
      <c r="C9" s="255" t="s">
        <v>24</v>
      </c>
      <c r="D9" s="256"/>
      <c r="E9" s="20"/>
      <c r="F9" s="20"/>
      <c r="G9" s="20"/>
    </row>
    <row r="10" spans="1:7" x14ac:dyDescent="0.3">
      <c r="A10" s="156" t="s">
        <v>25</v>
      </c>
      <c r="B10" s="158" t="s">
        <v>26</v>
      </c>
      <c r="C10" s="255" t="s">
        <v>199</v>
      </c>
      <c r="D10" s="256"/>
      <c r="E10" s="20"/>
      <c r="F10" s="20"/>
      <c r="G10" s="20"/>
    </row>
    <row r="11" spans="1:7" x14ac:dyDescent="0.3">
      <c r="A11" s="156" t="s">
        <v>27</v>
      </c>
      <c r="B11" s="158" t="s">
        <v>28</v>
      </c>
      <c r="C11" s="262">
        <f>Proposta!F5</f>
        <v>1</v>
      </c>
      <c r="D11" s="263"/>
      <c r="E11" s="20"/>
      <c r="F11" s="20"/>
      <c r="G11" s="20"/>
    </row>
    <row r="12" spans="1:7" x14ac:dyDescent="0.3">
      <c r="A12" s="156" t="s">
        <v>29</v>
      </c>
      <c r="B12" s="158" t="s">
        <v>30</v>
      </c>
      <c r="C12" s="264">
        <f>Proposta!H5</f>
        <v>24</v>
      </c>
      <c r="D12" s="265"/>
      <c r="E12" s="20"/>
      <c r="F12" s="20"/>
      <c r="G12" s="20"/>
    </row>
    <row r="13" spans="1:7" x14ac:dyDescent="0.3">
      <c r="A13" s="266"/>
      <c r="B13" s="267"/>
      <c r="C13" s="267"/>
      <c r="D13" s="267"/>
      <c r="E13" s="20"/>
      <c r="F13" s="20"/>
      <c r="G13" s="20"/>
    </row>
    <row r="14" spans="1:7" x14ac:dyDescent="0.3">
      <c r="A14" s="268" t="s">
        <v>31</v>
      </c>
      <c r="B14" s="269"/>
      <c r="C14" s="269"/>
      <c r="D14" s="270"/>
      <c r="E14" s="20"/>
      <c r="F14" s="20"/>
      <c r="G14" s="20"/>
    </row>
    <row r="15" spans="1:7" x14ac:dyDescent="0.3">
      <c r="A15" s="259" t="s">
        <v>32</v>
      </c>
      <c r="B15" s="259"/>
      <c r="C15" s="259"/>
      <c r="D15" s="259"/>
      <c r="E15" s="20"/>
      <c r="F15" s="20"/>
      <c r="G15" s="20"/>
    </row>
    <row r="16" spans="1:7" x14ac:dyDescent="0.3">
      <c r="A16" s="156">
        <v>1</v>
      </c>
      <c r="B16" s="158" t="s">
        <v>33</v>
      </c>
      <c r="C16" s="255" t="s">
        <v>1</v>
      </c>
      <c r="D16" s="256" t="s">
        <v>1</v>
      </c>
      <c r="E16" s="20"/>
      <c r="F16" s="20"/>
      <c r="G16" s="20"/>
    </row>
    <row r="17" spans="1:7" x14ac:dyDescent="0.3">
      <c r="A17" s="156"/>
      <c r="B17" s="147" t="s">
        <v>253</v>
      </c>
      <c r="C17" s="272">
        <v>2</v>
      </c>
      <c r="D17" s="265">
        <v>1</v>
      </c>
      <c r="E17" s="20"/>
      <c r="F17" s="20"/>
      <c r="G17" s="20"/>
    </row>
    <row r="18" spans="1:7" x14ac:dyDescent="0.3">
      <c r="A18" s="156">
        <v>2</v>
      </c>
      <c r="B18" s="24" t="s">
        <v>34</v>
      </c>
      <c r="C18" s="273" t="s">
        <v>200</v>
      </c>
      <c r="D18" s="274"/>
      <c r="E18" s="20"/>
      <c r="F18" s="20"/>
      <c r="G18" s="20"/>
    </row>
    <row r="19" spans="1:7" x14ac:dyDescent="0.3">
      <c r="A19" s="259" t="s">
        <v>35</v>
      </c>
      <c r="B19" s="259"/>
      <c r="C19" s="259"/>
      <c r="D19" s="259"/>
      <c r="E19" s="20"/>
      <c r="F19" s="20"/>
      <c r="G19" s="20"/>
    </row>
    <row r="20" spans="1:7" x14ac:dyDescent="0.3">
      <c r="A20" s="156">
        <v>3</v>
      </c>
      <c r="B20" s="275" t="s">
        <v>6</v>
      </c>
      <c r="C20" s="276"/>
      <c r="D20" s="173">
        <v>1664.83</v>
      </c>
      <c r="E20" s="20"/>
      <c r="F20" s="20"/>
      <c r="G20" s="20"/>
    </row>
    <row r="21" spans="1:7" x14ac:dyDescent="0.3">
      <c r="A21" s="156">
        <v>4</v>
      </c>
      <c r="B21" s="275" t="s">
        <v>36</v>
      </c>
      <c r="C21" s="276"/>
      <c r="D21" s="174" t="s">
        <v>201</v>
      </c>
      <c r="E21" s="20"/>
      <c r="F21" s="20"/>
      <c r="G21" s="20"/>
    </row>
    <row r="22" spans="1:7" x14ac:dyDescent="0.3">
      <c r="A22" s="156">
        <v>5</v>
      </c>
      <c r="B22" s="275" t="s">
        <v>5</v>
      </c>
      <c r="C22" s="276"/>
      <c r="D22" s="175">
        <v>44228</v>
      </c>
      <c r="E22" s="20"/>
      <c r="F22" s="20"/>
      <c r="G22" s="20"/>
    </row>
    <row r="23" spans="1:7" x14ac:dyDescent="0.3">
      <c r="A23" s="255"/>
      <c r="B23" s="277"/>
      <c r="C23" s="277"/>
      <c r="D23" s="256"/>
      <c r="E23" s="20"/>
      <c r="F23" s="20"/>
      <c r="G23" s="20"/>
    </row>
    <row r="24" spans="1:7" x14ac:dyDescent="0.3">
      <c r="A24" s="278" t="s">
        <v>37</v>
      </c>
      <c r="B24" s="278"/>
      <c r="C24" s="278"/>
      <c r="D24" s="278"/>
      <c r="E24" s="20"/>
      <c r="F24" s="20"/>
      <c r="G24" s="20"/>
    </row>
    <row r="25" spans="1:7" hidden="1" outlineLevel="1" x14ac:dyDescent="0.3">
      <c r="A25" s="272"/>
      <c r="B25" s="279"/>
      <c r="C25" s="279"/>
      <c r="D25" s="265"/>
      <c r="E25" s="20"/>
      <c r="F25" s="20"/>
      <c r="G25" s="20"/>
    </row>
    <row r="26" spans="1:7" hidden="1" outlineLevel="1" x14ac:dyDescent="0.3">
      <c r="A26" s="157">
        <v>1</v>
      </c>
      <c r="B26" s="280" t="s">
        <v>38</v>
      </c>
      <c r="C26" s="281"/>
      <c r="D26" s="157" t="s">
        <v>39</v>
      </c>
      <c r="E26" s="20"/>
      <c r="F26" s="20"/>
      <c r="G26" s="20"/>
    </row>
    <row r="27" spans="1:7" hidden="1" outlineLevel="1" x14ac:dyDescent="0.3">
      <c r="A27" s="156" t="s">
        <v>40</v>
      </c>
      <c r="B27" s="158" t="s">
        <v>245</v>
      </c>
      <c r="C27" s="167">
        <v>220</v>
      </c>
      <c r="D27" s="25">
        <f>D20/220*C27</f>
        <v>1664.83</v>
      </c>
      <c r="E27" s="20"/>
      <c r="F27" s="20"/>
      <c r="G27" s="20"/>
    </row>
    <row r="28" spans="1:7" hidden="1" outlineLevel="1" x14ac:dyDescent="0.3">
      <c r="A28" s="156" t="s">
        <v>19</v>
      </c>
      <c r="B28" s="158" t="s">
        <v>223</v>
      </c>
      <c r="C28" s="26">
        <v>0.3</v>
      </c>
      <c r="D28" s="25">
        <f>C28*D27</f>
        <v>499.44899999999996</v>
      </c>
      <c r="E28" s="20"/>
      <c r="F28" s="20"/>
      <c r="G28" s="20"/>
    </row>
    <row r="29" spans="1:7" hidden="1" outlineLevel="1" x14ac:dyDescent="0.3">
      <c r="A29" s="156" t="s">
        <v>20</v>
      </c>
      <c r="B29" s="158" t="s">
        <v>41</v>
      </c>
      <c r="C29" s="26">
        <v>0</v>
      </c>
      <c r="D29" s="25">
        <f>C29*D27</f>
        <v>0</v>
      </c>
      <c r="E29" s="20"/>
      <c r="F29" s="20"/>
      <c r="G29" s="20"/>
    </row>
    <row r="30" spans="1:7" hidden="1" outlineLevel="1" x14ac:dyDescent="0.3">
      <c r="A30" s="156" t="s">
        <v>22</v>
      </c>
      <c r="B30" s="158" t="s">
        <v>225</v>
      </c>
      <c r="C30" s="27">
        <v>15</v>
      </c>
      <c r="D30" s="28">
        <f>(D20/C27*C30)*1.5</f>
        <v>170.26670454545453</v>
      </c>
      <c r="E30" s="20"/>
      <c r="F30" s="20"/>
      <c r="G30" s="20"/>
    </row>
    <row r="31" spans="1:7" hidden="1" outlineLevel="1" x14ac:dyDescent="0.3">
      <c r="A31" s="156" t="s">
        <v>25</v>
      </c>
      <c r="B31" s="158" t="s">
        <v>247</v>
      </c>
      <c r="C31" s="185">
        <f>((D20/220*20%))</f>
        <v>1.5134818181818182</v>
      </c>
      <c r="D31" s="28">
        <f>C31*7*C30</f>
        <v>158.91559090909089</v>
      </c>
      <c r="E31" s="186"/>
      <c r="F31" s="20"/>
      <c r="G31" s="20"/>
    </row>
    <row r="32" spans="1:7" hidden="1" outlineLevel="1" x14ac:dyDescent="0.3">
      <c r="A32" s="156" t="s">
        <v>27</v>
      </c>
      <c r="B32" s="158" t="s">
        <v>246</v>
      </c>
      <c r="C32" s="185">
        <f>(D20/220*(7.5/60))</f>
        <v>0.94592613636363632</v>
      </c>
      <c r="D32" s="28">
        <f>C32*7*C30</f>
        <v>99.322244318181816</v>
      </c>
      <c r="E32" s="187"/>
      <c r="F32" s="20"/>
      <c r="G32" s="20"/>
    </row>
    <row r="33" spans="1:7" hidden="1" outlineLevel="1" x14ac:dyDescent="0.3">
      <c r="A33" s="156" t="s">
        <v>29</v>
      </c>
      <c r="B33" s="85" t="s">
        <v>42</v>
      </c>
      <c r="C33" s="86">
        <v>0</v>
      </c>
      <c r="D33" s="87">
        <v>0</v>
      </c>
      <c r="E33" s="20"/>
      <c r="F33" s="20"/>
      <c r="G33" s="20"/>
    </row>
    <row r="34" spans="1:7" collapsed="1" x14ac:dyDescent="0.3">
      <c r="A34" s="280" t="s">
        <v>43</v>
      </c>
      <c r="B34" s="282"/>
      <c r="C34" s="281"/>
      <c r="D34" s="29">
        <f>SUM(D27:D33)</f>
        <v>2592.7835397727272</v>
      </c>
      <c r="E34" s="20"/>
      <c r="F34" s="20"/>
      <c r="G34" s="20"/>
    </row>
    <row r="35" spans="1:7" x14ac:dyDescent="0.3">
      <c r="A35" s="271"/>
      <c r="B35" s="271"/>
      <c r="C35" s="271"/>
      <c r="D35" s="271"/>
      <c r="E35" s="20"/>
      <c r="F35" s="20"/>
      <c r="G35" s="20"/>
    </row>
    <row r="36" spans="1:7" x14ac:dyDescent="0.3">
      <c r="A36" s="286" t="s">
        <v>44</v>
      </c>
      <c r="B36" s="287"/>
      <c r="C36" s="287"/>
      <c r="D36" s="288"/>
      <c r="E36" s="20"/>
      <c r="F36" s="20"/>
      <c r="G36" s="20"/>
    </row>
    <row r="37" spans="1:7" hidden="1" outlineLevel="1" x14ac:dyDescent="0.3">
      <c r="A37" s="289"/>
      <c r="B37" s="290"/>
      <c r="C37" s="290"/>
      <c r="D37" s="291"/>
      <c r="E37" s="20"/>
      <c r="F37" s="20"/>
      <c r="G37" s="20"/>
    </row>
    <row r="38" spans="1:7" hidden="1" outlineLevel="1" x14ac:dyDescent="0.3">
      <c r="A38" s="30" t="s">
        <v>45</v>
      </c>
      <c r="B38" s="31" t="s">
        <v>46</v>
      </c>
      <c r="C38" s="30" t="s">
        <v>47</v>
      </c>
      <c r="D38" s="30" t="s">
        <v>39</v>
      </c>
      <c r="E38" s="20"/>
      <c r="F38" s="20"/>
      <c r="G38" s="20"/>
    </row>
    <row r="39" spans="1:7" hidden="1" outlineLevel="2" x14ac:dyDescent="0.3">
      <c r="A39" s="32" t="s">
        <v>40</v>
      </c>
      <c r="B39" s="33" t="s">
        <v>48</v>
      </c>
      <c r="C39" s="34">
        <f>1/12</f>
        <v>8.3333333333333329E-2</v>
      </c>
      <c r="D39" s="25">
        <f>C39*D34</f>
        <v>216.06529498106059</v>
      </c>
      <c r="E39" s="20"/>
      <c r="F39" s="20"/>
      <c r="G39" s="20"/>
    </row>
    <row r="40" spans="1:7" hidden="1" outlineLevel="2" x14ac:dyDescent="0.3">
      <c r="A40" s="32" t="s">
        <v>19</v>
      </c>
      <c r="B40" s="33" t="s">
        <v>197</v>
      </c>
      <c r="C40" s="34">
        <f>IF(C12&gt;60,(1/C12/3)*5,IF(C12&gt;48,(1/C12/3)*4,IF(C12&gt;36,(1/C12/3)*3,IF(C12&gt;24,(1/C12/3)*2,IF(C12&gt;12,(1/C12/3)*1,0)))))</f>
        <v>1.3888888888888888E-2</v>
      </c>
      <c r="D40" s="25">
        <f>C40*D34</f>
        <v>36.010882496843429</v>
      </c>
      <c r="E40" s="20"/>
      <c r="F40" s="20"/>
      <c r="G40" s="20"/>
    </row>
    <row r="41" spans="1:7" hidden="1" outlineLevel="2" x14ac:dyDescent="0.3">
      <c r="A41" s="35" t="s">
        <v>120</v>
      </c>
      <c r="B41" s="33" t="s">
        <v>121</v>
      </c>
      <c r="C41" s="162">
        <v>0</v>
      </c>
      <c r="D41" s="122">
        <f>-D40*(1/3)*(C41)</f>
        <v>0</v>
      </c>
      <c r="E41" s="20"/>
      <c r="F41" s="20"/>
      <c r="G41" s="20"/>
    </row>
    <row r="42" spans="1:7" hidden="1" outlineLevel="1" collapsed="1" x14ac:dyDescent="0.3">
      <c r="A42" s="292" t="s">
        <v>14</v>
      </c>
      <c r="B42" s="293"/>
      <c r="C42" s="36">
        <f>SUM(C39:C40)</f>
        <v>9.722222222222221E-2</v>
      </c>
      <c r="D42" s="37">
        <f>SUM(D39:D41)</f>
        <v>252.07617747790403</v>
      </c>
      <c r="E42" s="20"/>
      <c r="F42" s="20"/>
      <c r="G42" s="20"/>
    </row>
    <row r="43" spans="1:7" hidden="1" outlineLevel="1" x14ac:dyDescent="0.3">
      <c r="A43" s="289"/>
      <c r="B43" s="290"/>
      <c r="C43" s="290"/>
      <c r="D43" s="291"/>
      <c r="E43" s="20"/>
      <c r="F43" s="20"/>
      <c r="G43" s="20"/>
    </row>
    <row r="44" spans="1:7" hidden="1" outlineLevel="1" x14ac:dyDescent="0.3">
      <c r="A44" s="30" t="s">
        <v>49</v>
      </c>
      <c r="B44" s="38" t="s">
        <v>50</v>
      </c>
      <c r="C44" s="30" t="s">
        <v>47</v>
      </c>
      <c r="D44" s="39" t="s">
        <v>39</v>
      </c>
      <c r="E44" s="20"/>
      <c r="F44" s="20"/>
      <c r="G44" s="20"/>
    </row>
    <row r="45" spans="1:7" hidden="1" outlineLevel="2" x14ac:dyDescent="0.3">
      <c r="A45" s="159" t="s">
        <v>40</v>
      </c>
      <c r="B45" s="40" t="s">
        <v>51</v>
      </c>
      <c r="C45" s="41">
        <v>0.2</v>
      </c>
      <c r="D45" s="25">
        <f>C45*($D$34+$D$42)</f>
        <v>568.97194345012622</v>
      </c>
      <c r="E45" s="20"/>
      <c r="F45" s="20"/>
      <c r="G45" s="20"/>
    </row>
    <row r="46" spans="1:7" hidden="1" outlineLevel="2" x14ac:dyDescent="0.3">
      <c r="A46" s="159" t="s">
        <v>19</v>
      </c>
      <c r="B46" s="40" t="s">
        <v>52</v>
      </c>
      <c r="C46" s="41">
        <v>2.5000000000000001E-2</v>
      </c>
      <c r="D46" s="25">
        <f t="shared" ref="D46:D52" si="0">C46*($D$34+$D$42)</f>
        <v>71.121492931265777</v>
      </c>
      <c r="E46" s="20"/>
      <c r="F46" s="20"/>
      <c r="G46" s="20"/>
    </row>
    <row r="47" spans="1:7" hidden="1" outlineLevel="2" x14ac:dyDescent="0.3">
      <c r="A47" s="159" t="s">
        <v>20</v>
      </c>
      <c r="B47" s="40" t="s">
        <v>114</v>
      </c>
      <c r="C47" s="161">
        <v>0.03</v>
      </c>
      <c r="D47" s="25">
        <f t="shared" si="0"/>
        <v>85.345791517518933</v>
      </c>
      <c r="E47" s="20"/>
      <c r="F47" s="20"/>
      <c r="G47" s="20"/>
    </row>
    <row r="48" spans="1:7" hidden="1" outlineLevel="2" x14ac:dyDescent="0.3">
      <c r="A48" s="159" t="s">
        <v>22</v>
      </c>
      <c r="B48" s="40" t="s">
        <v>232</v>
      </c>
      <c r="C48" s="41">
        <v>1.4999999999999999E-2</v>
      </c>
      <c r="D48" s="25">
        <f t="shared" si="0"/>
        <v>42.672895758759466</v>
      </c>
      <c r="E48" s="20"/>
      <c r="F48" s="20"/>
      <c r="G48" s="20"/>
    </row>
    <row r="49" spans="1:7" hidden="1" outlineLevel="2" x14ac:dyDescent="0.3">
      <c r="A49" s="159" t="s">
        <v>25</v>
      </c>
      <c r="B49" s="40" t="s">
        <v>233</v>
      </c>
      <c r="C49" s="41">
        <v>0.01</v>
      </c>
      <c r="D49" s="25">
        <f>C49*($D$34+$D$42)</f>
        <v>28.448597172506311</v>
      </c>
      <c r="E49" s="20"/>
      <c r="F49" s="20"/>
      <c r="G49" s="20"/>
    </row>
    <row r="50" spans="1:7" hidden="1" outlineLevel="2" x14ac:dyDescent="0.3">
      <c r="A50" s="159" t="s">
        <v>27</v>
      </c>
      <c r="B50" s="40" t="s">
        <v>53</v>
      </c>
      <c r="C50" s="41">
        <v>6.0000000000000001E-3</v>
      </c>
      <c r="D50" s="25">
        <f>C50*($D$34+$D$42)</f>
        <v>17.069158303503787</v>
      </c>
      <c r="E50" s="20"/>
      <c r="F50" s="20"/>
      <c r="G50" s="20"/>
    </row>
    <row r="51" spans="1:7" hidden="1" outlineLevel="2" x14ac:dyDescent="0.3">
      <c r="A51" s="159" t="s">
        <v>29</v>
      </c>
      <c r="B51" s="40" t="s">
        <v>54</v>
      </c>
      <c r="C51" s="41">
        <v>2E-3</v>
      </c>
      <c r="D51" s="25">
        <f t="shared" si="0"/>
        <v>5.6897194345012627</v>
      </c>
      <c r="E51" s="20"/>
      <c r="F51" s="20"/>
      <c r="G51" s="20"/>
    </row>
    <row r="52" spans="1:7" hidden="1" outlineLevel="2" x14ac:dyDescent="0.3">
      <c r="A52" s="159" t="s">
        <v>55</v>
      </c>
      <c r="B52" s="40" t="s">
        <v>56</v>
      </c>
      <c r="C52" s="41">
        <v>0.08</v>
      </c>
      <c r="D52" s="25">
        <f t="shared" si="0"/>
        <v>227.58877738005049</v>
      </c>
      <c r="E52" s="20"/>
      <c r="F52" s="20"/>
      <c r="G52" s="20"/>
    </row>
    <row r="53" spans="1:7" hidden="1" outlineLevel="1" collapsed="1" x14ac:dyDescent="0.3">
      <c r="A53" s="292" t="s">
        <v>14</v>
      </c>
      <c r="B53" s="293"/>
      <c r="C53" s="42">
        <f>SUM(C45:C52)</f>
        <v>0.36800000000000005</v>
      </c>
      <c r="D53" s="43">
        <f>SUM(D45:D52)</f>
        <v>1046.9083759482321</v>
      </c>
      <c r="E53" s="20"/>
      <c r="F53" s="20"/>
      <c r="G53" s="20"/>
    </row>
    <row r="54" spans="1:7" hidden="1" outlineLevel="1" x14ac:dyDescent="0.3">
      <c r="A54" s="289"/>
      <c r="B54" s="290"/>
      <c r="C54" s="290"/>
      <c r="D54" s="291"/>
      <c r="E54" s="20"/>
      <c r="F54" s="20"/>
      <c r="G54" s="20"/>
    </row>
    <row r="55" spans="1:7" hidden="1" outlineLevel="1" x14ac:dyDescent="0.3">
      <c r="A55" s="30" t="s">
        <v>57</v>
      </c>
      <c r="B55" s="38" t="s">
        <v>58</v>
      </c>
      <c r="C55" s="30" t="s">
        <v>59</v>
      </c>
      <c r="D55" s="30" t="s">
        <v>39</v>
      </c>
      <c r="E55" s="20"/>
      <c r="F55" s="20"/>
      <c r="G55" s="20"/>
    </row>
    <row r="56" spans="1:7" hidden="1" outlineLevel="2" x14ac:dyDescent="0.3">
      <c r="A56" s="159" t="s">
        <v>40</v>
      </c>
      <c r="B56" s="40" t="s">
        <v>60</v>
      </c>
      <c r="C56" s="44">
        <v>4.75</v>
      </c>
      <c r="D56" s="45">
        <f>IF((C30*2*C56)-(D27*6%)&lt;0,0,(C30*2*C56)-(D27*6%))</f>
        <v>42.610200000000006</v>
      </c>
      <c r="E56" s="82"/>
      <c r="F56" s="20"/>
      <c r="G56" s="20"/>
    </row>
    <row r="57" spans="1:7" hidden="1" outlineLevel="2" x14ac:dyDescent="0.3">
      <c r="A57" s="159" t="s">
        <v>19</v>
      </c>
      <c r="B57" s="40" t="s">
        <v>61</v>
      </c>
      <c r="C57" s="83">
        <v>27.6</v>
      </c>
      <c r="D57" s="45">
        <f>C57*C30</f>
        <v>414</v>
      </c>
      <c r="E57" s="20"/>
      <c r="F57" s="20"/>
      <c r="G57" s="20"/>
    </row>
    <row r="58" spans="1:7" hidden="1" outlineLevel="2" x14ac:dyDescent="0.3">
      <c r="A58" s="73" t="s">
        <v>97</v>
      </c>
      <c r="B58" s="40" t="s">
        <v>98</v>
      </c>
      <c r="C58" s="84">
        <v>-0.2</v>
      </c>
      <c r="D58" s="122">
        <f>D57*C58</f>
        <v>-82.800000000000011</v>
      </c>
      <c r="E58" s="20"/>
      <c r="F58" s="20"/>
      <c r="G58" s="20"/>
    </row>
    <row r="59" spans="1:7" hidden="1" outlineLevel="2" x14ac:dyDescent="0.3">
      <c r="A59" s="159" t="s">
        <v>20</v>
      </c>
      <c r="B59" s="176" t="s">
        <v>229</v>
      </c>
      <c r="C59" s="169">
        <v>6.0000000000000001E-3</v>
      </c>
      <c r="D59" s="177">
        <f>C59*D27</f>
        <v>9.9889799999999997</v>
      </c>
      <c r="E59" s="20"/>
      <c r="F59" s="20"/>
      <c r="G59" s="20"/>
    </row>
    <row r="60" spans="1:7" hidden="1" outlineLevel="2" x14ac:dyDescent="0.3">
      <c r="A60" s="159" t="s">
        <v>22</v>
      </c>
      <c r="B60" s="178" t="s">
        <v>228</v>
      </c>
      <c r="C60" s="168">
        <v>14</v>
      </c>
      <c r="D60" s="177">
        <f>C60</f>
        <v>14</v>
      </c>
      <c r="E60" s="20"/>
      <c r="F60" s="20"/>
      <c r="G60" s="20"/>
    </row>
    <row r="61" spans="1:7" hidden="1" outlineLevel="2" x14ac:dyDescent="0.3">
      <c r="A61" s="159" t="s">
        <v>25</v>
      </c>
      <c r="B61" s="176" t="s">
        <v>167</v>
      </c>
      <c r="C61" s="169">
        <v>7.0000000000000007E-2</v>
      </c>
      <c r="D61" s="177">
        <f>C61*D34</f>
        <v>181.49484778409092</v>
      </c>
      <c r="E61" s="20"/>
      <c r="F61" s="20"/>
      <c r="G61" s="20"/>
    </row>
    <row r="62" spans="1:7" hidden="1" outlineLevel="2" x14ac:dyDescent="0.3">
      <c r="A62" s="159" t="s">
        <v>27</v>
      </c>
      <c r="B62" s="176" t="s">
        <v>42</v>
      </c>
      <c r="C62" s="84"/>
      <c r="D62" s="177"/>
      <c r="E62" s="20"/>
      <c r="F62" s="20"/>
      <c r="G62" s="20"/>
    </row>
    <row r="63" spans="1:7" hidden="1" outlineLevel="2" x14ac:dyDescent="0.3">
      <c r="A63" s="159" t="s">
        <v>29</v>
      </c>
      <c r="B63" s="176" t="s">
        <v>42</v>
      </c>
      <c r="C63" s="83"/>
      <c r="D63" s="179">
        <f>C63</f>
        <v>0</v>
      </c>
      <c r="E63" s="20"/>
      <c r="F63" s="20"/>
      <c r="G63" s="20"/>
    </row>
    <row r="64" spans="1:7" hidden="1" outlineLevel="1" collapsed="1" x14ac:dyDescent="0.3">
      <c r="A64" s="292" t="s">
        <v>62</v>
      </c>
      <c r="B64" s="294"/>
      <c r="C64" s="293"/>
      <c r="D64" s="37">
        <f>SUM(D56:D63)</f>
        <v>579.29402778409099</v>
      </c>
      <c r="E64" s="20"/>
      <c r="F64" s="20"/>
      <c r="G64" s="20"/>
    </row>
    <row r="65" spans="1:7" hidden="1" outlineLevel="1" x14ac:dyDescent="0.3">
      <c r="A65" s="289"/>
      <c r="B65" s="290"/>
      <c r="C65" s="290"/>
      <c r="D65" s="291"/>
      <c r="E65" s="20"/>
      <c r="F65" s="20"/>
      <c r="G65" s="20"/>
    </row>
    <row r="66" spans="1:7" hidden="1" outlineLevel="1" x14ac:dyDescent="0.3">
      <c r="A66" s="295" t="s">
        <v>63</v>
      </c>
      <c r="B66" s="296"/>
      <c r="C66" s="30" t="s">
        <v>47</v>
      </c>
      <c r="D66" s="30" t="s">
        <v>39</v>
      </c>
      <c r="E66" s="20"/>
      <c r="F66" s="20"/>
      <c r="G66" s="20"/>
    </row>
    <row r="67" spans="1:7" hidden="1" outlineLevel="1" x14ac:dyDescent="0.3">
      <c r="A67" s="159" t="s">
        <v>64</v>
      </c>
      <c r="B67" s="40" t="s">
        <v>46</v>
      </c>
      <c r="C67" s="46">
        <f>C42</f>
        <v>9.722222222222221E-2</v>
      </c>
      <c r="D67" s="25">
        <f>D42</f>
        <v>252.07617747790403</v>
      </c>
      <c r="E67" s="20"/>
      <c r="F67" s="20"/>
      <c r="G67" s="20"/>
    </row>
    <row r="68" spans="1:7" hidden="1" outlineLevel="1" x14ac:dyDescent="0.3">
      <c r="A68" s="159" t="s">
        <v>49</v>
      </c>
      <c r="B68" s="40" t="s">
        <v>50</v>
      </c>
      <c r="C68" s="46">
        <f>C53</f>
        <v>0.36800000000000005</v>
      </c>
      <c r="D68" s="25">
        <f>D53</f>
        <v>1046.9083759482321</v>
      </c>
      <c r="E68" s="20"/>
      <c r="F68" s="20"/>
      <c r="G68" s="20"/>
    </row>
    <row r="69" spans="1:7" hidden="1" outlineLevel="1" x14ac:dyDescent="0.3">
      <c r="A69" s="159" t="s">
        <v>65</v>
      </c>
      <c r="B69" s="40" t="s">
        <v>58</v>
      </c>
      <c r="C69" s="46">
        <f>D64/D34</f>
        <v>0.22342552661949927</v>
      </c>
      <c r="D69" s="25">
        <f>D64</f>
        <v>579.29402778409099</v>
      </c>
      <c r="E69" s="20"/>
      <c r="F69" s="20"/>
      <c r="G69" s="20"/>
    </row>
    <row r="70" spans="1:7" collapsed="1" x14ac:dyDescent="0.3">
      <c r="A70" s="292" t="s">
        <v>14</v>
      </c>
      <c r="B70" s="294"/>
      <c r="C70" s="293"/>
      <c r="D70" s="37">
        <f>SUM(D67:D69)</f>
        <v>1878.2785812102272</v>
      </c>
      <c r="E70" s="20"/>
      <c r="F70" s="20"/>
      <c r="G70" s="20"/>
    </row>
    <row r="71" spans="1:7" x14ac:dyDescent="0.3">
      <c r="A71" s="289"/>
      <c r="B71" s="290"/>
      <c r="C71" s="290"/>
      <c r="D71" s="291"/>
      <c r="E71" s="20"/>
      <c r="F71" s="20"/>
      <c r="G71" s="20"/>
    </row>
    <row r="72" spans="1:7" x14ac:dyDescent="0.3">
      <c r="A72" s="283" t="s">
        <v>126</v>
      </c>
      <c r="B72" s="284"/>
      <c r="C72" s="284"/>
      <c r="D72" s="285"/>
      <c r="E72" s="20"/>
      <c r="F72" s="20"/>
      <c r="G72" s="20"/>
    </row>
    <row r="73" spans="1:7" hidden="1" outlineLevel="1" x14ac:dyDescent="0.3">
      <c r="A73" s="289"/>
      <c r="B73" s="290"/>
      <c r="C73" s="290"/>
      <c r="D73" s="291"/>
      <c r="E73" s="20"/>
      <c r="F73" s="20"/>
      <c r="G73" s="20"/>
    </row>
    <row r="74" spans="1:7" hidden="1" outlineLevel="1" x14ac:dyDescent="0.3">
      <c r="A74" s="157" t="s">
        <v>129</v>
      </c>
      <c r="B74" s="31" t="s">
        <v>130</v>
      </c>
      <c r="C74" s="30" t="s">
        <v>47</v>
      </c>
      <c r="D74" s="30" t="s">
        <v>39</v>
      </c>
      <c r="E74" s="20"/>
      <c r="F74" s="20"/>
      <c r="G74" s="20"/>
    </row>
    <row r="75" spans="1:7" hidden="1" outlineLevel="2" x14ac:dyDescent="0.3">
      <c r="A75" s="47" t="s">
        <v>40</v>
      </c>
      <c r="B75" s="48" t="s">
        <v>131</v>
      </c>
      <c r="C75" s="47" t="s">
        <v>132</v>
      </c>
      <c r="D75" s="49">
        <f>IF(C86&gt;1,SUM(D76:D79)*2,SUM(D76:D79))</f>
        <v>3653.8081816597228</v>
      </c>
      <c r="E75" s="20"/>
      <c r="F75" s="20"/>
      <c r="G75" s="20"/>
    </row>
    <row r="76" spans="1:7" hidden="1" outlineLevel="2" x14ac:dyDescent="0.3">
      <c r="A76" s="50" t="s">
        <v>128</v>
      </c>
      <c r="B76" s="51" t="s">
        <v>133</v>
      </c>
      <c r="C76" s="47">
        <f>(IF(C12&gt;60,45,IF(C12&gt;48,42,IF(C12&gt;36,39,IF(C12&gt;24,36,IF(C12&gt;12,33,30)))))/30)</f>
        <v>1.1000000000000001</v>
      </c>
      <c r="D76" s="49">
        <f>D34*C76</f>
        <v>2852.0618937500003</v>
      </c>
      <c r="E76" s="20"/>
      <c r="F76" s="20"/>
      <c r="G76" s="20"/>
    </row>
    <row r="77" spans="1:7" hidden="1" outlineLevel="2" x14ac:dyDescent="0.3">
      <c r="A77" s="50" t="s">
        <v>142</v>
      </c>
      <c r="B77" s="51" t="s">
        <v>134</v>
      </c>
      <c r="C77" s="34">
        <f>1/12</f>
        <v>8.3333333333333329E-2</v>
      </c>
      <c r="D77" s="49">
        <f>C77*D76</f>
        <v>237.67182447916667</v>
      </c>
      <c r="E77" s="20"/>
      <c r="F77" s="20"/>
      <c r="G77" s="20"/>
    </row>
    <row r="78" spans="1:7" hidden="1" outlineLevel="2" x14ac:dyDescent="0.3">
      <c r="A78" s="50" t="s">
        <v>143</v>
      </c>
      <c r="B78" s="51" t="s">
        <v>135</v>
      </c>
      <c r="C78" s="34">
        <f>(1/12)+(1/12/3)</f>
        <v>0.1111111111111111</v>
      </c>
      <c r="D78" s="52">
        <f>C78*D76</f>
        <v>316.89576597222225</v>
      </c>
      <c r="E78" s="20"/>
      <c r="F78" s="20"/>
      <c r="G78" s="20"/>
    </row>
    <row r="79" spans="1:7" hidden="1" outlineLevel="2" x14ac:dyDescent="0.3">
      <c r="A79" s="50" t="s">
        <v>144</v>
      </c>
      <c r="B79" s="51" t="s">
        <v>136</v>
      </c>
      <c r="C79" s="53">
        <v>0.08</v>
      </c>
      <c r="D79" s="49">
        <f>SUM(D76:D77)*C79</f>
        <v>247.17869745833337</v>
      </c>
      <c r="E79" s="20"/>
      <c r="F79" s="20"/>
      <c r="G79" s="20"/>
    </row>
    <row r="80" spans="1:7" hidden="1" outlineLevel="2" x14ac:dyDescent="0.3">
      <c r="A80" s="47" t="s">
        <v>19</v>
      </c>
      <c r="B80" s="48" t="s">
        <v>137</v>
      </c>
      <c r="C80" s="54">
        <v>0.4</v>
      </c>
      <c r="D80" s="49">
        <f>C80*D81</f>
        <v>2184.8522628484843</v>
      </c>
      <c r="E80" s="20"/>
      <c r="F80" s="20"/>
      <c r="G80" s="20"/>
    </row>
    <row r="81" spans="1:7" hidden="1" outlineLevel="2" x14ac:dyDescent="0.3">
      <c r="A81" s="47" t="s">
        <v>120</v>
      </c>
      <c r="B81" s="48" t="s">
        <v>138</v>
      </c>
      <c r="C81" s="54">
        <f>C52</f>
        <v>0.08</v>
      </c>
      <c r="D81" s="49">
        <f>C81*D82</f>
        <v>5462.1306571212108</v>
      </c>
      <c r="E81" s="20"/>
      <c r="F81" s="20"/>
      <c r="G81" s="20"/>
    </row>
    <row r="82" spans="1:7" hidden="1" outlineLevel="2" x14ac:dyDescent="0.3">
      <c r="A82" s="47" t="s">
        <v>145</v>
      </c>
      <c r="B82" s="55" t="s">
        <v>102</v>
      </c>
      <c r="C82" s="56" t="s">
        <v>132</v>
      </c>
      <c r="D82" s="52">
        <f>SUM(D83:D85)</f>
        <v>68276.633214015135</v>
      </c>
      <c r="E82" s="20"/>
      <c r="F82" s="20"/>
      <c r="G82" s="20"/>
    </row>
    <row r="83" spans="1:7" hidden="1" outlineLevel="2" x14ac:dyDescent="0.3">
      <c r="A83" s="50" t="s">
        <v>146</v>
      </c>
      <c r="B83" s="51" t="s">
        <v>139</v>
      </c>
      <c r="C83" s="57">
        <f>C12-C85</f>
        <v>23</v>
      </c>
      <c r="D83" s="49">
        <f>D34*C83</f>
        <v>59634.021414772724</v>
      </c>
      <c r="E83" s="20"/>
      <c r="F83" s="20"/>
      <c r="G83" s="20"/>
    </row>
    <row r="84" spans="1:7" hidden="1" outlineLevel="2" x14ac:dyDescent="0.3">
      <c r="A84" s="50" t="s">
        <v>147</v>
      </c>
      <c r="B84" s="51" t="s">
        <v>140</v>
      </c>
      <c r="C84" s="58">
        <f>C12/12</f>
        <v>2</v>
      </c>
      <c r="D84" s="49">
        <f>D34*C84</f>
        <v>5185.5670795454544</v>
      </c>
      <c r="E84" s="20"/>
      <c r="F84" s="20"/>
      <c r="G84" s="20"/>
    </row>
    <row r="85" spans="1:7" hidden="1" outlineLevel="2" x14ac:dyDescent="0.3">
      <c r="A85" s="50" t="s">
        <v>148</v>
      </c>
      <c r="B85" s="51" t="s">
        <v>141</v>
      </c>
      <c r="C85" s="56">
        <f>IF(C12&gt;60,5,IF(C12&gt;48,4,IF(C12&gt;36,3,IF(C12&gt;24,2,IF(C12&gt;12,1,0)))))</f>
        <v>1</v>
      </c>
      <c r="D85" s="52">
        <f>D34*C85*1.33333333333333</f>
        <v>3457.0447196969608</v>
      </c>
      <c r="E85" s="20"/>
      <c r="F85" s="20"/>
      <c r="G85" s="20"/>
    </row>
    <row r="86" spans="1:7" hidden="1" outlineLevel="1" collapsed="1" x14ac:dyDescent="0.3">
      <c r="A86" s="292" t="s">
        <v>14</v>
      </c>
      <c r="B86" s="293"/>
      <c r="C86" s="163">
        <v>0.1</v>
      </c>
      <c r="D86" s="37">
        <f>IF(C86&gt;1,D75+D80,(D75+D80)*C86)</f>
        <v>583.86604445082071</v>
      </c>
      <c r="E86" s="20"/>
      <c r="F86" s="20"/>
      <c r="G86" s="20"/>
    </row>
    <row r="87" spans="1:7" hidden="1" outlineLevel="1" x14ac:dyDescent="0.3">
      <c r="A87" s="297"/>
      <c r="B87" s="298"/>
      <c r="C87" s="298"/>
      <c r="D87" s="299"/>
      <c r="E87" s="20"/>
      <c r="F87" s="20"/>
      <c r="G87" s="20"/>
    </row>
    <row r="88" spans="1:7" hidden="1" outlineLevel="1" x14ac:dyDescent="0.3">
      <c r="A88" s="157" t="s">
        <v>155</v>
      </c>
      <c r="B88" s="31" t="s">
        <v>154</v>
      </c>
      <c r="C88" s="30" t="s">
        <v>47</v>
      </c>
      <c r="D88" s="30" t="s">
        <v>39</v>
      </c>
      <c r="E88" s="20"/>
      <c r="F88" s="20"/>
      <c r="G88" s="20"/>
    </row>
    <row r="89" spans="1:7" hidden="1" outlineLevel="2" x14ac:dyDescent="0.3">
      <c r="A89" s="47" t="s">
        <v>40</v>
      </c>
      <c r="B89" s="55" t="s">
        <v>149</v>
      </c>
      <c r="C89" s="59">
        <f>IF(C98&gt;1,(1/30*7)*2,(1/30*7))</f>
        <v>0.23333333333333334</v>
      </c>
      <c r="D89" s="52">
        <f>C89*SUM(D90:D94)</f>
        <v>1098.9734685304711</v>
      </c>
      <c r="E89" s="20"/>
      <c r="F89" s="20"/>
      <c r="G89" s="20"/>
    </row>
    <row r="90" spans="1:7" hidden="1" outlineLevel="2" x14ac:dyDescent="0.3">
      <c r="A90" s="50" t="s">
        <v>128</v>
      </c>
      <c r="B90" s="51" t="s">
        <v>150</v>
      </c>
      <c r="C90" s="47">
        <v>1</v>
      </c>
      <c r="D90" s="49">
        <f>D34</f>
        <v>2592.7835397727272</v>
      </c>
      <c r="E90" s="20"/>
      <c r="F90" s="20"/>
      <c r="G90" s="20"/>
    </row>
    <row r="91" spans="1:7" hidden="1" outlineLevel="2" x14ac:dyDescent="0.3">
      <c r="A91" s="50" t="s">
        <v>142</v>
      </c>
      <c r="B91" s="51" t="s">
        <v>151</v>
      </c>
      <c r="C91" s="34">
        <f>1/12</f>
        <v>8.3333333333333329E-2</v>
      </c>
      <c r="D91" s="49">
        <f>C91*D90</f>
        <v>216.06529498106059</v>
      </c>
      <c r="E91" s="20"/>
      <c r="F91" s="20"/>
      <c r="G91" s="20"/>
    </row>
    <row r="92" spans="1:7" hidden="1" outlineLevel="2" x14ac:dyDescent="0.3">
      <c r="A92" s="50" t="s">
        <v>143</v>
      </c>
      <c r="B92" s="51" t="s">
        <v>152</v>
      </c>
      <c r="C92" s="34">
        <f>(1/12)+(1/12/3)</f>
        <v>0.1111111111111111</v>
      </c>
      <c r="D92" s="49">
        <f>C92*D90</f>
        <v>288.08705997474743</v>
      </c>
      <c r="E92" s="20"/>
      <c r="F92" s="20"/>
      <c r="G92" s="20"/>
    </row>
    <row r="93" spans="1:7" hidden="1" outlineLevel="2" x14ac:dyDescent="0.3">
      <c r="A93" s="50" t="s">
        <v>144</v>
      </c>
      <c r="B93" s="60" t="s">
        <v>66</v>
      </c>
      <c r="C93" s="61">
        <f>C53</f>
        <v>0.36800000000000005</v>
      </c>
      <c r="D93" s="52">
        <f>C93*(D90+D91)</f>
        <v>1033.6563711893941</v>
      </c>
      <c r="E93" s="20"/>
      <c r="F93" s="20"/>
      <c r="G93" s="20"/>
    </row>
    <row r="94" spans="1:7" hidden="1" outlineLevel="2" x14ac:dyDescent="0.3">
      <c r="A94" s="50" t="s">
        <v>156</v>
      </c>
      <c r="B94" s="60" t="s">
        <v>153</v>
      </c>
      <c r="C94" s="62">
        <v>1</v>
      </c>
      <c r="D94" s="52">
        <f>D64</f>
        <v>579.29402778409099</v>
      </c>
      <c r="E94" s="20"/>
      <c r="F94" s="20"/>
      <c r="G94" s="20"/>
    </row>
    <row r="95" spans="1:7" hidden="1" outlineLevel="2" x14ac:dyDescent="0.3">
      <c r="A95" s="47" t="s">
        <v>19</v>
      </c>
      <c r="B95" s="48" t="s">
        <v>220</v>
      </c>
      <c r="C95" s="54">
        <v>0.4</v>
      </c>
      <c r="D95" s="49">
        <f>C95*D96</f>
        <v>2184.8522628484843</v>
      </c>
      <c r="E95" s="63"/>
      <c r="F95" s="20"/>
      <c r="G95" s="20"/>
    </row>
    <row r="96" spans="1:7" hidden="1" outlineLevel="2" x14ac:dyDescent="0.3">
      <c r="A96" s="47" t="s">
        <v>120</v>
      </c>
      <c r="B96" s="48" t="s">
        <v>138</v>
      </c>
      <c r="C96" s="54">
        <f>C52</f>
        <v>0.08</v>
      </c>
      <c r="D96" s="49">
        <f>C96*D97</f>
        <v>5462.1306571212108</v>
      </c>
      <c r="E96" s="20"/>
      <c r="F96" s="20"/>
      <c r="G96" s="20"/>
    </row>
    <row r="97" spans="1:7" hidden="1" outlineLevel="2" x14ac:dyDescent="0.3">
      <c r="A97" s="47" t="s">
        <v>145</v>
      </c>
      <c r="B97" s="55" t="s">
        <v>102</v>
      </c>
      <c r="C97" s="56" t="s">
        <v>132</v>
      </c>
      <c r="D97" s="52">
        <f>D82</f>
        <v>68276.633214015135</v>
      </c>
      <c r="E97" s="20"/>
      <c r="F97" s="20"/>
      <c r="G97" s="20"/>
    </row>
    <row r="98" spans="1:7" hidden="1" outlineLevel="1" collapsed="1" x14ac:dyDescent="0.3">
      <c r="A98" s="292" t="s">
        <v>14</v>
      </c>
      <c r="B98" s="293"/>
      <c r="C98" s="163">
        <v>0.9</v>
      </c>
      <c r="D98" s="37">
        <f>IF(C98&gt;1,D89+D95,(D89+D95)*C98)</f>
        <v>2955.4431582410598</v>
      </c>
      <c r="E98" s="20"/>
      <c r="F98" s="20"/>
      <c r="G98" s="20"/>
    </row>
    <row r="99" spans="1:7" hidden="1" outlineLevel="1" x14ac:dyDescent="0.3">
      <c r="A99" s="297"/>
      <c r="B99" s="298"/>
      <c r="C99" s="298"/>
      <c r="D99" s="299"/>
      <c r="E99" s="20"/>
      <c r="F99" s="20"/>
      <c r="G99" s="20"/>
    </row>
    <row r="100" spans="1:7" hidden="1" outlineLevel="1" x14ac:dyDescent="0.3">
      <c r="A100" s="157" t="s">
        <v>160</v>
      </c>
      <c r="B100" s="31" t="s">
        <v>165</v>
      </c>
      <c r="C100" s="30" t="s">
        <v>47</v>
      </c>
      <c r="D100" s="30" t="s">
        <v>39</v>
      </c>
      <c r="E100" s="20"/>
      <c r="F100" s="20"/>
      <c r="G100" s="20"/>
    </row>
    <row r="101" spans="1:7" hidden="1" outlineLevel="2" x14ac:dyDescent="0.3">
      <c r="A101" s="159" t="s">
        <v>40</v>
      </c>
      <c r="B101" s="40" t="s">
        <v>162</v>
      </c>
      <c r="C101" s="46">
        <f>IF(C12&gt;60,(D34/12*(C12-60))/C12/D34,IF(C12&gt;48,(D34/12*(C12-48))/C12/D34,IF(C12&gt;36,(D34/12*(C12-36))/C12/D34,IF(C12&gt;24,(D34/12*(C12-24))/C12/D34,IF(C12&gt;12,((D34/12*(C12-12))/C12/D34),1/12)))))</f>
        <v>4.1666666666666664E-2</v>
      </c>
      <c r="D101" s="64">
        <f>C101*D34</f>
        <v>108.03264749053029</v>
      </c>
      <c r="E101" s="20"/>
      <c r="F101" s="20"/>
      <c r="G101" s="20"/>
    </row>
    <row r="102" spans="1:7" hidden="1" outlineLevel="2" x14ac:dyDescent="0.3">
      <c r="A102" s="159" t="s">
        <v>19</v>
      </c>
      <c r="B102" s="65" t="s">
        <v>163</v>
      </c>
      <c r="C102" s="46">
        <f>C101/3</f>
        <v>1.3888888888888888E-2</v>
      </c>
      <c r="D102" s="66">
        <f>C102*D34</f>
        <v>36.010882496843429</v>
      </c>
      <c r="E102" s="20"/>
      <c r="F102" s="20"/>
      <c r="G102" s="20"/>
    </row>
    <row r="103" spans="1:7" hidden="1" outlineLevel="2" x14ac:dyDescent="0.3">
      <c r="A103" s="159" t="s">
        <v>20</v>
      </c>
      <c r="B103" s="67" t="s">
        <v>166</v>
      </c>
      <c r="C103" s="71">
        <f>C41</f>
        <v>0</v>
      </c>
      <c r="D103" s="25">
        <f>-D41*4</f>
        <v>0</v>
      </c>
      <c r="E103" s="20"/>
      <c r="F103" s="20"/>
      <c r="G103" s="20"/>
    </row>
    <row r="104" spans="1:7" ht="15.75" hidden="1" customHeight="1" outlineLevel="1" collapsed="1" x14ac:dyDescent="0.3">
      <c r="A104" s="292" t="s">
        <v>14</v>
      </c>
      <c r="B104" s="293"/>
      <c r="C104" s="36">
        <f>C101+C102+(D103/D34)</f>
        <v>5.5555555555555552E-2</v>
      </c>
      <c r="D104" s="37">
        <f>SUM(D101:D103)</f>
        <v>144.04352998737372</v>
      </c>
      <c r="E104" s="20"/>
      <c r="F104" s="20"/>
      <c r="G104" s="20"/>
    </row>
    <row r="105" spans="1:7" hidden="1" outlineLevel="1" x14ac:dyDescent="0.3">
      <c r="A105" s="297"/>
      <c r="B105" s="298"/>
      <c r="C105" s="298"/>
      <c r="D105" s="299"/>
      <c r="E105" s="63"/>
      <c r="F105" s="20"/>
      <c r="G105" s="20"/>
    </row>
    <row r="106" spans="1:7" hidden="1" outlineLevel="1" x14ac:dyDescent="0.3">
      <c r="A106" s="295" t="s">
        <v>161</v>
      </c>
      <c r="B106" s="296"/>
      <c r="C106" s="30" t="s">
        <v>47</v>
      </c>
      <c r="D106" s="30" t="s">
        <v>39</v>
      </c>
      <c r="E106" s="63"/>
      <c r="F106" s="20"/>
      <c r="G106" s="20"/>
    </row>
    <row r="107" spans="1:7" hidden="1" outlineLevel="1" x14ac:dyDescent="0.3">
      <c r="A107" s="159" t="s">
        <v>129</v>
      </c>
      <c r="B107" s="40" t="s">
        <v>130</v>
      </c>
      <c r="C107" s="46">
        <f>C86</f>
        <v>0.1</v>
      </c>
      <c r="D107" s="25">
        <f>D86</f>
        <v>583.86604445082071</v>
      </c>
      <c r="E107" s="63"/>
      <c r="F107" s="20"/>
      <c r="G107" s="20"/>
    </row>
    <row r="108" spans="1:7" hidden="1" outlineLevel="1" x14ac:dyDescent="0.3">
      <c r="A108" s="32" t="s">
        <v>155</v>
      </c>
      <c r="B108" s="40" t="s">
        <v>154</v>
      </c>
      <c r="C108" s="68">
        <f>C98</f>
        <v>0.9</v>
      </c>
      <c r="D108" s="25">
        <f>D98</f>
        <v>2955.4431582410598</v>
      </c>
      <c r="E108" s="63"/>
      <c r="F108" s="20"/>
      <c r="G108" s="20"/>
    </row>
    <row r="109" spans="1:7" hidden="1" outlineLevel="1" x14ac:dyDescent="0.3">
      <c r="A109" s="300" t="s">
        <v>164</v>
      </c>
      <c r="B109" s="300"/>
      <c r="C109" s="300"/>
      <c r="D109" s="69">
        <f>D107+D108</f>
        <v>3539.3092026918803</v>
      </c>
      <c r="E109" s="63"/>
      <c r="F109" s="20"/>
      <c r="G109" s="20"/>
    </row>
    <row r="110" spans="1:7" hidden="1" outlineLevel="1" x14ac:dyDescent="0.3">
      <c r="A110" s="301" t="s">
        <v>195</v>
      </c>
      <c r="B110" s="302"/>
      <c r="C110" s="164">
        <v>0.71030000000000004</v>
      </c>
      <c r="D110" s="123">
        <f>C110*D109</f>
        <v>2513.9713266720428</v>
      </c>
      <c r="E110" s="63"/>
      <c r="F110" s="20"/>
      <c r="G110" s="20"/>
    </row>
    <row r="111" spans="1:7" hidden="1" outlineLevel="1" x14ac:dyDescent="0.3">
      <c r="A111" s="303" t="s">
        <v>194</v>
      </c>
      <c r="B111" s="304"/>
      <c r="C111" s="172">
        <f>1/C12</f>
        <v>4.1666666666666664E-2</v>
      </c>
      <c r="D111" s="132">
        <f>D110*C111</f>
        <v>104.74880527800178</v>
      </c>
      <c r="E111" s="63"/>
      <c r="F111" s="20"/>
      <c r="G111" s="20"/>
    </row>
    <row r="112" spans="1:7" hidden="1" outlineLevel="1" x14ac:dyDescent="0.3">
      <c r="A112" s="32" t="s">
        <v>160</v>
      </c>
      <c r="B112" s="40" t="s">
        <v>159</v>
      </c>
      <c r="C112" s="68"/>
      <c r="D112" s="122">
        <f>D104</f>
        <v>144.04352998737372</v>
      </c>
      <c r="E112" s="63"/>
      <c r="F112" s="20"/>
      <c r="G112" s="20"/>
    </row>
    <row r="113" spans="1:7" collapsed="1" x14ac:dyDescent="0.3">
      <c r="A113" s="292" t="s">
        <v>67</v>
      </c>
      <c r="B113" s="293"/>
      <c r="C113" s="36"/>
      <c r="D113" s="70">
        <f>D111+D112</f>
        <v>248.7923352653755</v>
      </c>
      <c r="E113" s="20"/>
      <c r="F113" s="20"/>
      <c r="G113" s="20"/>
    </row>
    <row r="114" spans="1:7" x14ac:dyDescent="0.3">
      <c r="A114" s="289"/>
      <c r="B114" s="290"/>
      <c r="C114" s="290"/>
      <c r="D114" s="291"/>
      <c r="E114" s="20"/>
      <c r="F114" s="20"/>
      <c r="G114" s="20"/>
    </row>
    <row r="115" spans="1:7" x14ac:dyDescent="0.3">
      <c r="A115" s="286" t="s">
        <v>68</v>
      </c>
      <c r="B115" s="287"/>
      <c r="C115" s="287"/>
      <c r="D115" s="288"/>
      <c r="E115" s="20"/>
      <c r="F115" s="20"/>
      <c r="G115" s="20"/>
    </row>
    <row r="116" spans="1:7" hidden="1" outlineLevel="1" x14ac:dyDescent="0.3">
      <c r="A116" s="297"/>
      <c r="B116" s="298"/>
      <c r="C116" s="298"/>
      <c r="D116" s="299"/>
      <c r="E116" s="20"/>
      <c r="F116" s="20"/>
      <c r="G116" s="20"/>
    </row>
    <row r="117" spans="1:7" hidden="1" outlineLevel="1" x14ac:dyDescent="0.3">
      <c r="A117" s="30" t="s">
        <v>69</v>
      </c>
      <c r="B117" s="38" t="s">
        <v>124</v>
      </c>
      <c r="C117" s="36" t="s">
        <v>47</v>
      </c>
      <c r="D117" s="30" t="s">
        <v>39</v>
      </c>
      <c r="E117" s="20"/>
      <c r="F117" s="20"/>
      <c r="G117" s="20"/>
    </row>
    <row r="118" spans="1:7" hidden="1" outlineLevel="2" x14ac:dyDescent="0.3">
      <c r="A118" s="159" t="s">
        <v>40</v>
      </c>
      <c r="B118" s="40" t="s">
        <v>70</v>
      </c>
      <c r="C118" s="71">
        <f>IF(C12&gt;60,5/C12,IF(C12&gt;48,4/C12,IF(C12&gt;36,3/C12,IF(C12&gt;24,2/C12,IF(C12&gt;12,1/C12,0)))))</f>
        <v>4.1666666666666664E-2</v>
      </c>
      <c r="D118" s="64">
        <f>C118*(D34+D70+D113)</f>
        <v>196.66060234368038</v>
      </c>
      <c r="E118" s="133"/>
      <c r="F118" s="20"/>
      <c r="G118" s="72"/>
    </row>
    <row r="119" spans="1:7" hidden="1" outlineLevel="2" x14ac:dyDescent="0.3">
      <c r="A119" s="73" t="s">
        <v>128</v>
      </c>
      <c r="B119" s="40" t="s">
        <v>127</v>
      </c>
      <c r="C119" s="71">
        <f>C41</f>
        <v>0</v>
      </c>
      <c r="D119" s="122">
        <f>-D118*(1/3)*(C119)</f>
        <v>0</v>
      </c>
      <c r="E119" s="20"/>
      <c r="F119" s="20"/>
      <c r="G119" s="20"/>
    </row>
    <row r="120" spans="1:7" hidden="1" outlineLevel="1" collapsed="1" x14ac:dyDescent="0.3">
      <c r="A120" s="292" t="s">
        <v>158</v>
      </c>
      <c r="B120" s="293"/>
      <c r="C120" s="36">
        <f>C118+(D119/D34)</f>
        <v>4.1666666666666664E-2</v>
      </c>
      <c r="D120" s="37">
        <f>SUM(D118:D119)</f>
        <v>196.66060234368038</v>
      </c>
      <c r="E120" s="20"/>
      <c r="F120" s="20"/>
      <c r="G120" s="20"/>
    </row>
    <row r="121" spans="1:7" hidden="1" outlineLevel="1" x14ac:dyDescent="0.3">
      <c r="A121" s="297"/>
      <c r="B121" s="298"/>
      <c r="C121" s="298"/>
      <c r="D121" s="299"/>
      <c r="E121" s="20"/>
      <c r="F121" s="20"/>
      <c r="G121" s="20"/>
    </row>
    <row r="122" spans="1:7" hidden="1" outlineLevel="1" x14ac:dyDescent="0.3">
      <c r="A122" s="30" t="s">
        <v>123</v>
      </c>
      <c r="B122" s="38" t="s">
        <v>125</v>
      </c>
      <c r="C122" s="36" t="s">
        <v>47</v>
      </c>
      <c r="D122" s="30" t="s">
        <v>39</v>
      </c>
      <c r="E122" s="20"/>
      <c r="F122" s="20"/>
      <c r="G122" s="20"/>
    </row>
    <row r="123" spans="1:7" hidden="1" outlineLevel="2" x14ac:dyDescent="0.3">
      <c r="A123" s="159" t="s">
        <v>40</v>
      </c>
      <c r="B123" s="149" t="s">
        <v>122</v>
      </c>
      <c r="C123" s="165">
        <v>1.35E-2</v>
      </c>
      <c r="D123" s="64">
        <f t="shared" ref="D123:D128" si="1">C123*($D$64+$D$113+$D$34)</f>
        <v>46.181743688099615</v>
      </c>
      <c r="E123" s="20"/>
      <c r="F123" s="20"/>
      <c r="G123" s="72"/>
    </row>
    <row r="124" spans="1:7" hidden="1" outlineLevel="2" x14ac:dyDescent="0.3">
      <c r="A124" s="159" t="s">
        <v>19</v>
      </c>
      <c r="B124" s="40" t="s">
        <v>104</v>
      </c>
      <c r="C124" s="180">
        <v>1.66E-2</v>
      </c>
      <c r="D124" s="64">
        <f t="shared" si="1"/>
        <v>56.786440386848412</v>
      </c>
      <c r="E124" s="20"/>
      <c r="F124" s="20"/>
      <c r="G124" s="72"/>
    </row>
    <row r="125" spans="1:7" hidden="1" outlineLevel="2" x14ac:dyDescent="0.3">
      <c r="A125" s="159" t="s">
        <v>20</v>
      </c>
      <c r="B125" s="40" t="s">
        <v>105</v>
      </c>
      <c r="C125" s="180">
        <v>2.7000000000000001E-3</v>
      </c>
      <c r="D125" s="64">
        <f t="shared" si="1"/>
        <v>9.2363487376199238</v>
      </c>
      <c r="E125" s="20"/>
      <c r="F125" s="20"/>
      <c r="G125" s="72"/>
    </row>
    <row r="126" spans="1:7" hidden="1" outlineLevel="2" x14ac:dyDescent="0.3">
      <c r="A126" s="159" t="s">
        <v>22</v>
      </c>
      <c r="B126" s="40" t="s">
        <v>103</v>
      </c>
      <c r="C126" s="180">
        <v>2.8E-3</v>
      </c>
      <c r="D126" s="64">
        <f t="shared" si="1"/>
        <v>9.5784357279021428</v>
      </c>
      <c r="E126" s="20"/>
      <c r="F126" s="20"/>
      <c r="G126" s="20"/>
    </row>
    <row r="127" spans="1:7" hidden="1" outlineLevel="2" x14ac:dyDescent="0.3">
      <c r="A127" s="159" t="s">
        <v>25</v>
      </c>
      <c r="B127" s="40" t="s">
        <v>71</v>
      </c>
      <c r="C127" s="180">
        <v>2.0000000000000001E-4</v>
      </c>
      <c r="D127" s="64">
        <f t="shared" si="1"/>
        <v>0.68417398056443879</v>
      </c>
      <c r="E127" s="20"/>
      <c r="F127" s="20"/>
      <c r="G127" s="20"/>
    </row>
    <row r="128" spans="1:7" hidden="1" outlineLevel="2" x14ac:dyDescent="0.3">
      <c r="A128" s="159" t="s">
        <v>27</v>
      </c>
      <c r="B128" s="40" t="s">
        <v>72</v>
      </c>
      <c r="C128" s="180">
        <v>2.9999999999999997E-4</v>
      </c>
      <c r="D128" s="64">
        <f t="shared" si="1"/>
        <v>1.0262609708466579</v>
      </c>
      <c r="E128" s="20"/>
      <c r="F128" s="20"/>
      <c r="G128" s="20"/>
    </row>
    <row r="129" spans="1:7" hidden="1" outlineLevel="1" collapsed="1" x14ac:dyDescent="0.3">
      <c r="A129" s="292" t="s">
        <v>158</v>
      </c>
      <c r="B129" s="293"/>
      <c r="C129" s="36">
        <f>SUM(C123:C128)</f>
        <v>3.61E-2</v>
      </c>
      <c r="D129" s="37">
        <f>SUM(D123:D128)</f>
        <v>123.4934034918812</v>
      </c>
      <c r="E129" s="20"/>
      <c r="F129" s="20"/>
      <c r="G129" s="20"/>
    </row>
    <row r="130" spans="1:7" hidden="1" outlineLevel="1" x14ac:dyDescent="0.3">
      <c r="A130" s="297"/>
      <c r="B130" s="298"/>
      <c r="C130" s="298"/>
      <c r="D130" s="299"/>
      <c r="E130" s="20"/>
      <c r="F130" s="20"/>
      <c r="G130" s="20"/>
    </row>
    <row r="131" spans="1:7" hidden="1" outlineLevel="1" x14ac:dyDescent="0.3">
      <c r="A131" s="295" t="s">
        <v>157</v>
      </c>
      <c r="B131" s="296"/>
      <c r="C131" s="30" t="s">
        <v>47</v>
      </c>
      <c r="D131" s="30" t="s">
        <v>39</v>
      </c>
      <c r="E131" s="20"/>
      <c r="F131" s="20"/>
      <c r="G131" s="20"/>
    </row>
    <row r="132" spans="1:7" hidden="1" outlineLevel="1" x14ac:dyDescent="0.3">
      <c r="A132" s="159" t="s">
        <v>69</v>
      </c>
      <c r="B132" s="40" t="s">
        <v>124</v>
      </c>
      <c r="C132" s="46"/>
      <c r="D132" s="98">
        <f>D120</f>
        <v>196.66060234368038</v>
      </c>
      <c r="E132" s="20"/>
      <c r="F132" s="20"/>
      <c r="G132" s="20"/>
    </row>
    <row r="133" spans="1:7" hidden="1" outlineLevel="1" x14ac:dyDescent="0.3">
      <c r="A133" s="159" t="s">
        <v>123</v>
      </c>
      <c r="B133" s="40" t="s">
        <v>125</v>
      </c>
      <c r="C133" s="46"/>
      <c r="D133" s="98">
        <f>D129</f>
        <v>123.4934034918812</v>
      </c>
      <c r="E133" s="20"/>
      <c r="F133" s="20"/>
      <c r="G133" s="20"/>
    </row>
    <row r="134" spans="1:7" collapsed="1" x14ac:dyDescent="0.3">
      <c r="A134" s="292" t="s">
        <v>14</v>
      </c>
      <c r="B134" s="294"/>
      <c r="C134" s="293"/>
      <c r="D134" s="99">
        <f>SUM(D132:D133)</f>
        <v>320.15400583556158</v>
      </c>
      <c r="E134" s="20"/>
      <c r="F134" s="20"/>
      <c r="G134" s="20"/>
    </row>
    <row r="135" spans="1:7" x14ac:dyDescent="0.3">
      <c r="A135" s="297"/>
      <c r="B135" s="298"/>
      <c r="C135" s="298"/>
      <c r="D135" s="299"/>
      <c r="E135" s="20"/>
      <c r="F135" s="20"/>
      <c r="G135" s="20"/>
    </row>
    <row r="136" spans="1:7" x14ac:dyDescent="0.3">
      <c r="A136" s="286" t="s">
        <v>73</v>
      </c>
      <c r="B136" s="287"/>
      <c r="C136" s="287"/>
      <c r="D136" s="288"/>
      <c r="E136" s="20"/>
      <c r="F136" s="20"/>
      <c r="G136" s="20"/>
    </row>
    <row r="137" spans="1:7" hidden="1" outlineLevel="1" x14ac:dyDescent="0.3">
      <c r="A137" s="297"/>
      <c r="B137" s="298"/>
      <c r="C137" s="298"/>
      <c r="D137" s="299"/>
      <c r="E137" s="20"/>
      <c r="F137" s="20"/>
      <c r="G137" s="20"/>
    </row>
    <row r="138" spans="1:7" hidden="1" outlineLevel="1" x14ac:dyDescent="0.3">
      <c r="A138" s="157">
        <v>5</v>
      </c>
      <c r="B138" s="292" t="s">
        <v>248</v>
      </c>
      <c r="C138" s="293"/>
      <c r="D138" s="30" t="s">
        <v>39</v>
      </c>
      <c r="E138" s="20"/>
      <c r="F138" s="20"/>
      <c r="G138" s="20"/>
    </row>
    <row r="139" spans="1:7" hidden="1" outlineLevel="1" x14ac:dyDescent="0.3">
      <c r="A139" s="159" t="s">
        <v>40</v>
      </c>
      <c r="B139" s="308" t="s">
        <v>249</v>
      </c>
      <c r="C139" s="309"/>
      <c r="D139" s="95">
        <f>INSUMOS!H17</f>
        <v>53.838916666666663</v>
      </c>
      <c r="E139" s="20"/>
      <c r="F139" s="20"/>
      <c r="G139" s="20"/>
    </row>
    <row r="140" spans="1:7" hidden="1" outlineLevel="1" x14ac:dyDescent="0.3">
      <c r="A140" s="159" t="s">
        <v>19</v>
      </c>
      <c r="B140" s="308" t="s">
        <v>269</v>
      </c>
      <c r="C140" s="309"/>
      <c r="D140" s="74">
        <f>INSUMOS!H39</f>
        <v>23.641805555555553</v>
      </c>
      <c r="E140" s="20"/>
      <c r="F140" s="20"/>
      <c r="G140" s="20"/>
    </row>
    <row r="141" spans="1:7" hidden="1" outlineLevel="1" x14ac:dyDescent="0.3">
      <c r="A141" s="159" t="s">
        <v>20</v>
      </c>
      <c r="B141" s="310" t="s">
        <v>268</v>
      </c>
      <c r="C141" s="311"/>
      <c r="D141" s="181">
        <f>INSUMOS!H50</f>
        <v>62.5</v>
      </c>
      <c r="E141" s="20"/>
      <c r="F141" s="20"/>
      <c r="G141" s="20"/>
    </row>
    <row r="142" spans="1:7" hidden="1" outlineLevel="1" x14ac:dyDescent="0.3">
      <c r="A142" s="159" t="s">
        <v>25</v>
      </c>
      <c r="B142" s="312" t="s">
        <v>42</v>
      </c>
      <c r="C142" s="313"/>
      <c r="D142" s="96">
        <v>0</v>
      </c>
      <c r="E142" s="20"/>
      <c r="F142" s="20"/>
      <c r="G142" s="20"/>
    </row>
    <row r="143" spans="1:7" collapsed="1" x14ac:dyDescent="0.3">
      <c r="A143" s="292" t="s">
        <v>74</v>
      </c>
      <c r="B143" s="294"/>
      <c r="C143" s="293"/>
      <c r="D143" s="97">
        <f>SUM(D139:D142)</f>
        <v>139.9807222222222</v>
      </c>
      <c r="E143" s="20"/>
      <c r="F143" s="20"/>
      <c r="G143" s="20"/>
    </row>
    <row r="144" spans="1:7" x14ac:dyDescent="0.3">
      <c r="A144" s="289"/>
      <c r="B144" s="290"/>
      <c r="C144" s="290"/>
      <c r="D144" s="291"/>
      <c r="E144" s="20"/>
      <c r="F144" s="20"/>
      <c r="G144" s="20"/>
    </row>
    <row r="145" spans="1:7" x14ac:dyDescent="0.3">
      <c r="A145" s="314" t="s">
        <v>75</v>
      </c>
      <c r="B145" s="314"/>
      <c r="C145" s="314"/>
      <c r="D145" s="160">
        <f>D34+D70+D113+D134+D143</f>
        <v>5179.9891843061132</v>
      </c>
      <c r="E145" s="20"/>
      <c r="F145" s="20"/>
      <c r="G145" s="20"/>
    </row>
    <row r="146" spans="1:7" x14ac:dyDescent="0.3">
      <c r="A146" s="271"/>
      <c r="B146" s="271"/>
      <c r="C146" s="271"/>
      <c r="D146" s="271"/>
      <c r="E146" s="20"/>
      <c r="F146" s="20"/>
      <c r="G146" s="20"/>
    </row>
    <row r="147" spans="1:7" x14ac:dyDescent="0.3">
      <c r="A147" s="315" t="s">
        <v>76</v>
      </c>
      <c r="B147" s="315"/>
      <c r="C147" s="315"/>
      <c r="D147" s="315"/>
      <c r="E147" s="20"/>
      <c r="F147" s="20"/>
      <c r="G147" s="20"/>
    </row>
    <row r="148" spans="1:7" hidden="1" outlineLevel="1" x14ac:dyDescent="0.3">
      <c r="A148" s="316"/>
      <c r="B148" s="317"/>
      <c r="C148" s="317"/>
      <c r="D148" s="318"/>
      <c r="E148" s="20"/>
      <c r="F148" s="20"/>
      <c r="G148" s="20"/>
    </row>
    <row r="149" spans="1:7" hidden="1" outlineLevel="1" x14ac:dyDescent="0.3">
      <c r="A149" s="157">
        <v>6</v>
      </c>
      <c r="B149" s="38" t="s">
        <v>77</v>
      </c>
      <c r="C149" s="30" t="s">
        <v>47</v>
      </c>
      <c r="D149" s="30" t="s">
        <v>39</v>
      </c>
      <c r="E149" s="20"/>
      <c r="F149" s="20"/>
      <c r="G149" s="20"/>
    </row>
    <row r="150" spans="1:7" hidden="1" outlineLevel="1" x14ac:dyDescent="0.3">
      <c r="A150" s="159" t="s">
        <v>40</v>
      </c>
      <c r="B150" s="40" t="s">
        <v>78</v>
      </c>
      <c r="C150" s="166">
        <v>5.6599999999999998E-2</v>
      </c>
      <c r="D150" s="28">
        <f>C150*D145</f>
        <v>293.18738783172597</v>
      </c>
      <c r="E150" s="20"/>
      <c r="F150" s="20"/>
      <c r="G150" s="20"/>
    </row>
    <row r="151" spans="1:7" hidden="1" outlineLevel="1" x14ac:dyDescent="0.3">
      <c r="A151" s="305" t="s">
        <v>4</v>
      </c>
      <c r="B151" s="306"/>
      <c r="C151" s="307"/>
      <c r="D151" s="28">
        <f>D145+D150</f>
        <v>5473.1765721378388</v>
      </c>
      <c r="E151" s="20"/>
      <c r="F151" s="20"/>
      <c r="G151" s="20"/>
    </row>
    <row r="152" spans="1:7" hidden="1" outlineLevel="1" x14ac:dyDescent="0.3">
      <c r="A152" s="159" t="s">
        <v>19</v>
      </c>
      <c r="B152" s="40" t="s">
        <v>79</v>
      </c>
      <c r="C152" s="166">
        <v>5.62E-2</v>
      </c>
      <c r="D152" s="28">
        <f>C152*D151</f>
        <v>307.59252335414652</v>
      </c>
      <c r="E152" s="20"/>
      <c r="F152" s="20"/>
      <c r="G152" s="20"/>
    </row>
    <row r="153" spans="1:7" hidden="1" outlineLevel="1" x14ac:dyDescent="0.3">
      <c r="A153" s="305" t="s">
        <v>4</v>
      </c>
      <c r="B153" s="306"/>
      <c r="C153" s="306"/>
      <c r="D153" s="28">
        <f>D152+D151</f>
        <v>5780.7690954919854</v>
      </c>
      <c r="E153" s="20"/>
      <c r="F153" s="20"/>
      <c r="G153" s="20"/>
    </row>
    <row r="154" spans="1:7" hidden="1" outlineLevel="1" x14ac:dyDescent="0.3">
      <c r="A154" s="159" t="s">
        <v>20</v>
      </c>
      <c r="B154" s="310" t="s">
        <v>80</v>
      </c>
      <c r="C154" s="319"/>
      <c r="D154" s="311"/>
      <c r="E154" s="20"/>
      <c r="F154" s="20"/>
      <c r="G154" s="20"/>
    </row>
    <row r="155" spans="1:7" hidden="1" outlineLevel="1" x14ac:dyDescent="0.3">
      <c r="A155" s="88"/>
      <c r="B155" s="158" t="s">
        <v>81</v>
      </c>
      <c r="C155" s="166">
        <v>6.4999999999999997E-3</v>
      </c>
      <c r="D155" s="28">
        <f>(D153/(1-C158)*C155)</f>
        <v>40.037292616620036</v>
      </c>
      <c r="E155" s="20"/>
      <c r="F155" s="20"/>
      <c r="G155" s="20"/>
    </row>
    <row r="156" spans="1:7" hidden="1" outlineLevel="1" x14ac:dyDescent="0.3">
      <c r="A156" s="88"/>
      <c r="B156" s="158" t="s">
        <v>82</v>
      </c>
      <c r="C156" s="166">
        <v>0.03</v>
      </c>
      <c r="D156" s="28">
        <f>(D153/(1-C158)*C156)</f>
        <v>184.78750438440017</v>
      </c>
      <c r="E156" s="20"/>
      <c r="F156" s="20"/>
      <c r="G156" s="20"/>
    </row>
    <row r="157" spans="1:7" hidden="1" outlineLevel="1" x14ac:dyDescent="0.3">
      <c r="A157" s="88"/>
      <c r="B157" s="158" t="s">
        <v>255</v>
      </c>
      <c r="C157" s="75">
        <v>2.5000000000000001E-2</v>
      </c>
      <c r="D157" s="28">
        <f>(D153/(1-C158)*C157)</f>
        <v>153.98958698700017</v>
      </c>
      <c r="E157" s="20"/>
      <c r="F157" s="20"/>
      <c r="G157" s="20"/>
    </row>
    <row r="158" spans="1:7" hidden="1" outlineLevel="1" x14ac:dyDescent="0.3">
      <c r="A158" s="305" t="s">
        <v>83</v>
      </c>
      <c r="B158" s="307"/>
      <c r="C158" s="76">
        <f>SUM(C155:C157)</f>
        <v>6.1499999999999999E-2</v>
      </c>
      <c r="D158" s="28">
        <f>SUM(D155:D157)</f>
        <v>378.81438398802038</v>
      </c>
      <c r="E158" s="20"/>
      <c r="F158" s="20"/>
      <c r="G158" s="20"/>
    </row>
    <row r="159" spans="1:7" collapsed="1" x14ac:dyDescent="0.3">
      <c r="A159" s="292" t="s">
        <v>84</v>
      </c>
      <c r="B159" s="293"/>
      <c r="C159" s="77">
        <f>SUM(C150+C152+C158)</f>
        <v>0.17430000000000001</v>
      </c>
      <c r="D159" s="29">
        <f>SUM(D158+D150+D152)</f>
        <v>979.59429517389299</v>
      </c>
      <c r="E159" s="20"/>
      <c r="F159" s="20"/>
      <c r="G159" s="20"/>
    </row>
    <row r="160" spans="1:7" x14ac:dyDescent="0.3">
      <c r="A160" s="289"/>
      <c r="B160" s="290"/>
      <c r="C160" s="290"/>
      <c r="D160" s="291"/>
      <c r="E160" s="20"/>
      <c r="F160" s="20"/>
      <c r="G160" s="20"/>
    </row>
    <row r="161" spans="1:7" x14ac:dyDescent="0.3">
      <c r="A161" s="280" t="s">
        <v>85</v>
      </c>
      <c r="B161" s="282"/>
      <c r="C161" s="281"/>
      <c r="D161" s="78" t="s">
        <v>39</v>
      </c>
      <c r="E161" s="20"/>
      <c r="F161" s="20"/>
      <c r="G161" s="20"/>
    </row>
    <row r="162" spans="1:7" x14ac:dyDescent="0.3">
      <c r="A162" s="275" t="s">
        <v>86</v>
      </c>
      <c r="B162" s="320"/>
      <c r="C162" s="320"/>
      <c r="D162" s="276"/>
      <c r="E162" s="20"/>
      <c r="F162" s="20"/>
      <c r="G162" s="20"/>
    </row>
    <row r="163" spans="1:7" x14ac:dyDescent="0.3">
      <c r="A163" s="156" t="s">
        <v>40</v>
      </c>
      <c r="B163" s="275" t="s">
        <v>87</v>
      </c>
      <c r="C163" s="276"/>
      <c r="D163" s="25">
        <f>D34</f>
        <v>2592.7835397727272</v>
      </c>
      <c r="E163" s="20"/>
      <c r="F163" s="20"/>
      <c r="G163" s="20"/>
    </row>
    <row r="164" spans="1:7" x14ac:dyDescent="0.3">
      <c r="A164" s="156" t="s">
        <v>19</v>
      </c>
      <c r="B164" s="275" t="s">
        <v>88</v>
      </c>
      <c r="C164" s="276"/>
      <c r="D164" s="25">
        <f>D70</f>
        <v>1878.2785812102272</v>
      </c>
      <c r="E164" s="20"/>
      <c r="F164" s="20"/>
      <c r="G164" s="20"/>
    </row>
    <row r="165" spans="1:7" x14ac:dyDescent="0.3">
      <c r="A165" s="156" t="s">
        <v>20</v>
      </c>
      <c r="B165" s="275" t="s">
        <v>89</v>
      </c>
      <c r="C165" s="276"/>
      <c r="D165" s="25">
        <f>D113</f>
        <v>248.7923352653755</v>
      </c>
      <c r="E165" s="20"/>
      <c r="F165" s="20"/>
      <c r="G165" s="20"/>
    </row>
    <row r="166" spans="1:7" x14ac:dyDescent="0.3">
      <c r="A166" s="156" t="s">
        <v>22</v>
      </c>
      <c r="B166" s="275" t="s">
        <v>90</v>
      </c>
      <c r="C166" s="276"/>
      <c r="D166" s="25">
        <f>D134</f>
        <v>320.15400583556158</v>
      </c>
      <c r="E166" s="20"/>
      <c r="F166" s="20"/>
      <c r="G166" s="20"/>
    </row>
    <row r="167" spans="1:7" x14ac:dyDescent="0.3">
      <c r="A167" s="156" t="s">
        <v>25</v>
      </c>
      <c r="B167" s="275" t="s">
        <v>91</v>
      </c>
      <c r="C167" s="276"/>
      <c r="D167" s="25">
        <f>D143</f>
        <v>139.9807222222222</v>
      </c>
      <c r="E167" s="20"/>
      <c r="F167" s="20"/>
      <c r="G167" s="20"/>
    </row>
    <row r="168" spans="1:7" x14ac:dyDescent="0.3">
      <c r="A168" s="321" t="s">
        <v>92</v>
      </c>
      <c r="B168" s="322"/>
      <c r="C168" s="323"/>
      <c r="D168" s="25">
        <f>SUM(D163:D167)</f>
        <v>5179.9891843061132</v>
      </c>
      <c r="E168" s="20"/>
      <c r="F168" s="20"/>
      <c r="G168" s="20"/>
    </row>
    <row r="169" spans="1:7" x14ac:dyDescent="0.3">
      <c r="A169" s="156" t="s">
        <v>93</v>
      </c>
      <c r="B169" s="275" t="s">
        <v>94</v>
      </c>
      <c r="C169" s="276"/>
      <c r="D169" s="25">
        <f>D159</f>
        <v>979.59429517389299</v>
      </c>
      <c r="E169" s="20"/>
      <c r="F169" s="20"/>
      <c r="G169" s="20"/>
    </row>
    <row r="170" spans="1:7" x14ac:dyDescent="0.3">
      <c r="A170" s="280" t="s">
        <v>95</v>
      </c>
      <c r="B170" s="282"/>
      <c r="C170" s="281"/>
      <c r="D170" s="124">
        <f xml:space="preserve"> D168+D169</f>
        <v>6159.5834794800066</v>
      </c>
      <c r="E170" s="20"/>
      <c r="F170" s="20"/>
      <c r="G170" s="20"/>
    </row>
    <row r="171" spans="1:7" x14ac:dyDescent="0.3">
      <c r="A171" s="20"/>
      <c r="B171" s="20"/>
      <c r="C171" s="20"/>
      <c r="D171" s="20"/>
      <c r="E171" s="20"/>
      <c r="F171" s="20"/>
      <c r="G171" s="20"/>
    </row>
    <row r="172" spans="1:7" x14ac:dyDescent="0.3">
      <c r="A172" s="324" t="s">
        <v>3</v>
      </c>
      <c r="B172" s="325"/>
      <c r="C172" s="326"/>
      <c r="D172" s="79" t="s">
        <v>2</v>
      </c>
      <c r="E172" s="20"/>
      <c r="F172" s="20"/>
      <c r="G172" s="20"/>
    </row>
    <row r="173" spans="1:7" x14ac:dyDescent="0.3">
      <c r="A173" s="327" t="s">
        <v>113</v>
      </c>
      <c r="B173" s="328"/>
      <c r="C173" s="329"/>
      <c r="D173" s="80">
        <f>C17</f>
        <v>2</v>
      </c>
      <c r="E173" s="20"/>
      <c r="F173" s="20"/>
      <c r="G173" s="20"/>
    </row>
    <row r="174" spans="1:7" x14ac:dyDescent="0.3">
      <c r="A174" s="327" t="s">
        <v>0</v>
      </c>
      <c r="B174" s="328"/>
      <c r="C174" s="329"/>
      <c r="D174" s="90">
        <f>D173*D170</f>
        <v>12319.166958960013</v>
      </c>
      <c r="E174" s="20"/>
      <c r="F174" s="20"/>
      <c r="G174" s="20"/>
    </row>
    <row r="175" spans="1:7" x14ac:dyDescent="0.3">
      <c r="A175" s="20"/>
      <c r="B175" s="20"/>
      <c r="C175" s="20"/>
      <c r="D175" s="20"/>
      <c r="E175" s="20"/>
      <c r="F175" s="20"/>
      <c r="G175" s="20"/>
    </row>
    <row r="176" spans="1:7" x14ac:dyDescent="0.3">
      <c r="A176" s="20"/>
      <c r="B176" s="20"/>
      <c r="C176" s="20"/>
      <c r="D176" s="20"/>
      <c r="E176" s="20"/>
      <c r="F176" s="20"/>
      <c r="G176" s="20"/>
    </row>
  </sheetData>
  <mergeCells count="96">
    <mergeCell ref="C10:D10"/>
    <mergeCell ref="A1:D1"/>
    <mergeCell ref="A2:B2"/>
    <mergeCell ref="C2:D2"/>
    <mergeCell ref="A3:B3"/>
    <mergeCell ref="C3:D3"/>
    <mergeCell ref="A4:D4"/>
    <mergeCell ref="A5:D5"/>
    <mergeCell ref="C6:D6"/>
    <mergeCell ref="C7:D7"/>
    <mergeCell ref="C8:D8"/>
    <mergeCell ref="C9:D9"/>
    <mergeCell ref="B22:C22"/>
    <mergeCell ref="C11:D11"/>
    <mergeCell ref="C12:D12"/>
    <mergeCell ref="A13:D13"/>
    <mergeCell ref="A14:D14"/>
    <mergeCell ref="A15:D15"/>
    <mergeCell ref="C16:D16"/>
    <mergeCell ref="C17:D17"/>
    <mergeCell ref="C18:D18"/>
    <mergeCell ref="A19:D19"/>
    <mergeCell ref="B20:C20"/>
    <mergeCell ref="B21:C21"/>
    <mergeCell ref="A54:D54"/>
    <mergeCell ref="A23:D23"/>
    <mergeCell ref="A24:D24"/>
    <mergeCell ref="A25:D25"/>
    <mergeCell ref="B26:C26"/>
    <mergeCell ref="A34:C34"/>
    <mergeCell ref="A35:D35"/>
    <mergeCell ref="A36:D36"/>
    <mergeCell ref="A37:D37"/>
    <mergeCell ref="A42:B42"/>
    <mergeCell ref="A43:D43"/>
    <mergeCell ref="A53:B53"/>
    <mergeCell ref="A104:B104"/>
    <mergeCell ref="A64:C64"/>
    <mergeCell ref="A65:D65"/>
    <mergeCell ref="A66:B66"/>
    <mergeCell ref="A70:C70"/>
    <mergeCell ref="A71:D71"/>
    <mergeCell ref="A72:D72"/>
    <mergeCell ref="A73:D73"/>
    <mergeCell ref="A86:B86"/>
    <mergeCell ref="A87:D87"/>
    <mergeCell ref="A98:B98"/>
    <mergeCell ref="A99:D99"/>
    <mergeCell ref="A129:B129"/>
    <mergeCell ref="A105:D105"/>
    <mergeCell ref="A106:B106"/>
    <mergeCell ref="A109:C109"/>
    <mergeCell ref="A110:B110"/>
    <mergeCell ref="A111:B111"/>
    <mergeCell ref="A113:B113"/>
    <mergeCell ref="A114:D114"/>
    <mergeCell ref="A115:D115"/>
    <mergeCell ref="A116:D116"/>
    <mergeCell ref="A120:B120"/>
    <mergeCell ref="A121:D121"/>
    <mergeCell ref="A143:C143"/>
    <mergeCell ref="A130:D130"/>
    <mergeCell ref="A131:B131"/>
    <mergeCell ref="A134:C134"/>
    <mergeCell ref="A135:D135"/>
    <mergeCell ref="A136:D136"/>
    <mergeCell ref="A137:D137"/>
    <mergeCell ref="B138:C138"/>
    <mergeCell ref="B139:C139"/>
    <mergeCell ref="B140:C140"/>
    <mergeCell ref="B141:C141"/>
    <mergeCell ref="B142:C142"/>
    <mergeCell ref="A161:C161"/>
    <mergeCell ref="A144:D144"/>
    <mergeCell ref="A145:C145"/>
    <mergeCell ref="A146:D146"/>
    <mergeCell ref="A147:D147"/>
    <mergeCell ref="A148:D148"/>
    <mergeCell ref="A151:C151"/>
    <mergeCell ref="A153:C153"/>
    <mergeCell ref="B154:D154"/>
    <mergeCell ref="A158:B158"/>
    <mergeCell ref="A159:B159"/>
    <mergeCell ref="A160:D160"/>
    <mergeCell ref="A174:C174"/>
    <mergeCell ref="A162:D162"/>
    <mergeCell ref="B163:C163"/>
    <mergeCell ref="B164:C164"/>
    <mergeCell ref="B165:C165"/>
    <mergeCell ref="B166:C166"/>
    <mergeCell ref="B167:C167"/>
    <mergeCell ref="A168:C168"/>
    <mergeCell ref="B169:C169"/>
    <mergeCell ref="A170:C170"/>
    <mergeCell ref="A172:C172"/>
    <mergeCell ref="A173:C17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13</vt:i4>
      </vt:variant>
    </vt:vector>
  </HeadingPairs>
  <TitlesOfParts>
    <vt:vector size="13" baseType="lpstr">
      <vt:lpstr>Proposta</vt:lpstr>
      <vt:lpstr>INSUMOS</vt:lpstr>
      <vt:lpstr>Item 1 - SR 44 horas</vt:lpstr>
      <vt:lpstr>Item 2 - SR 12x36 diur.</vt:lpstr>
      <vt:lpstr>Item 3 - SR 12x36 not.</vt:lpstr>
      <vt:lpstr>Item 4 - NEPOM 12x36 diur.</vt:lpstr>
      <vt:lpstr>Item 5 - NEPOM 12x36 not.</vt:lpstr>
      <vt:lpstr>Item 6 - IJI 12x36 not.</vt:lpstr>
      <vt:lpstr>Item 7 - JVE 12x36 not.</vt:lpstr>
      <vt:lpstr>Item 8 - CCM 12x36 not.</vt:lpstr>
      <vt:lpstr>Item 9 - LGE 12x36 not.</vt:lpstr>
      <vt:lpstr>Item 10 - XAP 12x36 not.</vt:lpstr>
      <vt:lpstr>Item 11 - DCQ 12x36 not.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Luan Lucio da Silva</cp:lastModifiedBy>
  <dcterms:created xsi:type="dcterms:W3CDTF">2020-03-24T19:39:58Z</dcterms:created>
  <dcterms:modified xsi:type="dcterms:W3CDTF">2022-04-06T00:19:07Z</dcterms:modified>
</cp:coreProperties>
</file>