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showObjects="none" codeName="EstaPastaDeTrabalho"/>
  <mc:AlternateContent xmlns:mc="http://schemas.openxmlformats.org/markup-compatibility/2006">
    <mc:Choice Requires="x15">
      <x15ac:absPath xmlns:x15ac="http://schemas.microsoft.com/office/spreadsheetml/2010/11/ac" url="C:\Users\luan.lls\Downloads\"/>
    </mc:Choice>
  </mc:AlternateContent>
  <xr:revisionPtr revIDLastSave="0" documentId="13_ncr:1_{5DDFC0C4-D9D8-4D73-B516-97E9554AE25C}" xr6:coauthVersionLast="36" xr6:coauthVersionMax="47" xr10:uidLastSave="{00000000-0000-0000-0000-000000000000}"/>
  <bookViews>
    <workbookView xWindow="0" yWindow="0" windowWidth="7710" windowHeight="14610" tabRatio="669" activeTab="6" xr2:uid="{00000000-000D-0000-FFFF-FFFF00000000}"/>
  </bookViews>
  <sheets>
    <sheet name="Proposta" sheetId="13" r:id="rId1"/>
    <sheet name="Item 1 - Oficial de Manut" sheetId="16" r:id="rId2"/>
    <sheet name="Item 2 - Eletrotécnico" sheetId="38" r:id="rId3"/>
    <sheet name="Item 3 - Serviços Eventuais" sheetId="32" r:id="rId4"/>
    <sheet name="Item 4 - Peças" sheetId="28" r:id="rId5"/>
    <sheet name="INSUMOS" sheetId="15" r:id="rId6"/>
    <sheet name="Horas extras" sheetId="33" r:id="rId7"/>
    <sheet name="BDI" sheetId="29" r:id="rId8"/>
    <sheet name="BDI Diferenciado" sheetId="3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5" l="1"/>
  <c r="H27" i="15"/>
  <c r="C129" i="38"/>
  <c r="C119" i="38"/>
  <c r="C108" i="38"/>
  <c r="C107" i="38"/>
  <c r="C103" i="38"/>
  <c r="C96" i="38"/>
  <c r="C92" i="38"/>
  <c r="C91" i="38"/>
  <c r="C89" i="38"/>
  <c r="C81" i="38"/>
  <c r="C78" i="38"/>
  <c r="C77" i="38"/>
  <c r="D63" i="38"/>
  <c r="D60" i="38"/>
  <c r="D59" i="38"/>
  <c r="D57" i="38"/>
  <c r="D58" i="38" s="1"/>
  <c r="C53" i="38"/>
  <c r="C68" i="38" s="1"/>
  <c r="C39" i="38"/>
  <c r="D32" i="38"/>
  <c r="D30" i="38"/>
  <c r="D31" i="38" s="1"/>
  <c r="D27" i="38"/>
  <c r="D56" i="38" s="1"/>
  <c r="C12" i="38"/>
  <c r="C11" i="38"/>
  <c r="D59" i="16"/>
  <c r="G7" i="32"/>
  <c r="F7" i="32"/>
  <c r="E7" i="32"/>
  <c r="H7" i="32" s="1"/>
  <c r="G6" i="32"/>
  <c r="F6" i="32"/>
  <c r="E6" i="32"/>
  <c r="H6" i="32" s="1"/>
  <c r="G5" i="32"/>
  <c r="G8" i="32" s="1"/>
  <c r="F5" i="32"/>
  <c r="F8" i="32" s="1"/>
  <c r="E5" i="32"/>
  <c r="H5" i="32" s="1"/>
  <c r="D23" i="30"/>
  <c r="D11" i="30" s="1"/>
  <c r="D16" i="30"/>
  <c r="D7" i="30"/>
  <c r="D23" i="29"/>
  <c r="D16" i="29"/>
  <c r="D7" i="29" s="1"/>
  <c r="D11" i="29"/>
  <c r="C18" i="33" s="1"/>
  <c r="D9" i="29"/>
  <c r="F118" i="28"/>
  <c r="F119" i="28" s="1"/>
  <c r="F120" i="28" s="1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113" i="28" s="1"/>
  <c r="F114" i="28" s="1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43" i="28" s="1"/>
  <c r="H9" i="32" l="1"/>
  <c r="F124" i="28"/>
  <c r="C111" i="38"/>
  <c r="C76" i="38"/>
  <c r="C40" i="38"/>
  <c r="C42" i="38"/>
  <c r="C67" i="38" s="1"/>
  <c r="C84" i="38"/>
  <c r="C118" i="38"/>
  <c r="D29" i="38"/>
  <c r="D28" i="38"/>
  <c r="C93" i="38"/>
  <c r="C85" i="38"/>
  <c r="C83" i="38" s="1"/>
  <c r="H8" i="32"/>
  <c r="H10" i="32" s="1"/>
  <c r="H11" i="32" s="1"/>
  <c r="E7" i="13" s="1"/>
  <c r="G7" i="13" s="1"/>
  <c r="E8" i="32"/>
  <c r="D9" i="30"/>
  <c r="F44" i="28"/>
  <c r="F122" i="28"/>
  <c r="C12" i="16"/>
  <c r="C40" i="16" s="1"/>
  <c r="D34" i="38" l="1"/>
  <c r="D4" i="33" s="1"/>
  <c r="D6" i="33" s="1"/>
  <c r="F125" i="28"/>
  <c r="F126" i="28" s="1"/>
  <c r="E8" i="13" s="1"/>
  <c r="G8" i="13" s="1"/>
  <c r="F123" i="28"/>
  <c r="D15" i="33" l="1"/>
  <c r="D13" i="33"/>
  <c r="D11" i="33"/>
  <c r="D9" i="33"/>
  <c r="D16" i="33" s="1"/>
  <c r="C101" i="38"/>
  <c r="D101" i="38" s="1"/>
  <c r="D40" i="38"/>
  <c r="D41" i="38" s="1"/>
  <c r="D103" i="38" s="1"/>
  <c r="D156" i="38"/>
  <c r="D83" i="38"/>
  <c r="D61" i="38"/>
  <c r="D64" i="38" s="1"/>
  <c r="C69" i="38" s="1"/>
  <c r="D84" i="38"/>
  <c r="D39" i="38"/>
  <c r="D85" i="38"/>
  <c r="D90" i="38"/>
  <c r="D91" i="38" s="1"/>
  <c r="D93" i="38" s="1"/>
  <c r="D76" i="38"/>
  <c r="D78" i="38" s="1"/>
  <c r="D57" i="16"/>
  <c r="D30" i="16"/>
  <c r="D27" i="16"/>
  <c r="D94" i="38" l="1"/>
  <c r="C102" i="38"/>
  <c r="D102" i="38" s="1"/>
  <c r="D104" i="38" s="1"/>
  <c r="D112" i="38" s="1"/>
  <c r="D77" i="38"/>
  <c r="D79" i="38" s="1"/>
  <c r="D82" i="38"/>
  <c r="D97" i="38" s="1"/>
  <c r="D96" i="38" s="1"/>
  <c r="D95" i="38" s="1"/>
  <c r="D42" i="38"/>
  <c r="D49" i="38" s="1"/>
  <c r="D92" i="38"/>
  <c r="D89" i="38" s="1"/>
  <c r="D69" i="38"/>
  <c r="D56" i="16"/>
  <c r="D47" i="38"/>
  <c r="D45" i="38"/>
  <c r="H41" i="15"/>
  <c r="H44" i="15" s="1"/>
  <c r="D141" i="38" l="1"/>
  <c r="D141" i="16"/>
  <c r="D75" i="38"/>
  <c r="D81" i="38"/>
  <c r="D80" i="38" s="1"/>
  <c r="C104" i="38"/>
  <c r="D48" i="38"/>
  <c r="D52" i="38"/>
  <c r="D67" i="38"/>
  <c r="D46" i="38"/>
  <c r="D51" i="38"/>
  <c r="D50" i="38"/>
  <c r="D86" i="38"/>
  <c r="D107" i="38" s="1"/>
  <c r="D98" i="38"/>
  <c r="D108" i="38" s="1"/>
  <c r="D58" i="16"/>
  <c r="D60" i="16"/>
  <c r="C111" i="16"/>
  <c r="D53" i="38" l="1"/>
  <c r="D68" i="38" s="1"/>
  <c r="D70" i="38" s="1"/>
  <c r="D157" i="38" s="1"/>
  <c r="D109" i="38"/>
  <c r="D110" i="38" s="1"/>
  <c r="D111" i="38" s="1"/>
  <c r="D113" i="38" s="1"/>
  <c r="D123" i="38" s="1"/>
  <c r="C118" i="16"/>
  <c r="D118" i="38" l="1"/>
  <c r="D119" i="38" s="1"/>
  <c r="C120" i="38" s="1"/>
  <c r="D127" i="38"/>
  <c r="D125" i="38"/>
  <c r="D158" i="38"/>
  <c r="D126" i="38"/>
  <c r="D128" i="38"/>
  <c r="D124" i="38"/>
  <c r="C11" i="16"/>
  <c r="D129" i="38" l="1"/>
  <c r="D133" i="38" s="1"/>
  <c r="D120" i="38"/>
  <c r="D132" i="38" s="1"/>
  <c r="C89" i="16"/>
  <c r="D134" i="38" l="1"/>
  <c r="D159" i="38" s="1"/>
  <c r="C76" i="16"/>
  <c r="C129" i="16"/>
  <c r="C119" i="16"/>
  <c r="C107" i="16"/>
  <c r="C103" i="16"/>
  <c r="C108" i="16"/>
  <c r="C96" i="16"/>
  <c r="C92" i="16"/>
  <c r="C91" i="16"/>
  <c r="C81" i="16"/>
  <c r="C78" i="16"/>
  <c r="C77" i="16"/>
  <c r="D63" i="16"/>
  <c r="C53" i="16"/>
  <c r="C68" i="16" s="1"/>
  <c r="C39" i="16"/>
  <c r="D32" i="16"/>
  <c r="I8" i="13" l="1"/>
  <c r="D29" i="16"/>
  <c r="D28" i="16"/>
  <c r="C85" i="16"/>
  <c r="C83" i="16" s="1"/>
  <c r="C42" i="16"/>
  <c r="C67" i="16" s="1"/>
  <c r="C84" i="16"/>
  <c r="C93" i="16"/>
  <c r="D31" i="16" l="1"/>
  <c r="D34" i="16" s="1"/>
  <c r="C4" i="33" s="1"/>
  <c r="C6" i="33" s="1"/>
  <c r="F30" i="15"/>
  <c r="C15" i="33" l="1"/>
  <c r="C13" i="33"/>
  <c r="C11" i="33"/>
  <c r="C9" i="33"/>
  <c r="C16" i="33" s="1"/>
  <c r="C17" i="33" s="1"/>
  <c r="D76" i="16"/>
  <c r="D61" i="16"/>
  <c r="D90" i="16"/>
  <c r="D92" i="16" s="1"/>
  <c r="D39" i="16"/>
  <c r="D83" i="16"/>
  <c r="D40" i="16"/>
  <c r="D84" i="16"/>
  <c r="C101" i="16"/>
  <c r="D101" i="16" s="1"/>
  <c r="D85" i="16"/>
  <c r="D156" i="16"/>
  <c r="D78" i="16" l="1"/>
  <c r="D91" i="16"/>
  <c r="D93" i="16" s="1"/>
  <c r="D41" i="16"/>
  <c r="D42" i="16" s="1"/>
  <c r="D45" i="16" s="1"/>
  <c r="D77" i="16"/>
  <c r="D79" i="16" s="1"/>
  <c r="D82" i="16"/>
  <c r="D81" i="16" s="1"/>
  <c r="D80" i="16" s="1"/>
  <c r="C102" i="16"/>
  <c r="D102" i="16" s="1"/>
  <c r="D64" i="16"/>
  <c r="D75" i="16" l="1"/>
  <c r="D86" i="16" s="1"/>
  <c r="D107" i="16" s="1"/>
  <c r="D103" i="16"/>
  <c r="C104" i="16" s="1"/>
  <c r="D50" i="16"/>
  <c r="D48" i="16"/>
  <c r="D49" i="16"/>
  <c r="D46" i="16"/>
  <c r="D47" i="16"/>
  <c r="D51" i="16"/>
  <c r="D67" i="16"/>
  <c r="D52" i="16"/>
  <c r="D97" i="16"/>
  <c r="D96" i="16" s="1"/>
  <c r="D95" i="16" s="1"/>
  <c r="D94" i="16"/>
  <c r="D89" i="16" s="1"/>
  <c r="D69" i="16"/>
  <c r="C69" i="16"/>
  <c r="D104" i="16" l="1"/>
  <c r="D112" i="16" s="1"/>
  <c r="D53" i="16"/>
  <c r="D68" i="16" s="1"/>
  <c r="D70" i="16" s="1"/>
  <c r="D157" i="16" s="1"/>
  <c r="D98" i="16"/>
  <c r="D108" i="16" s="1"/>
  <c r="D109" i="16" l="1"/>
  <c r="F14" i="15"/>
  <c r="H14" i="15" s="1"/>
  <c r="F27" i="15"/>
  <c r="F22" i="15"/>
  <c r="H22" i="15" s="1"/>
  <c r="F23" i="15"/>
  <c r="H23" i="15" s="1"/>
  <c r="F24" i="15"/>
  <c r="H24" i="15" s="1"/>
  <c r="F25" i="15"/>
  <c r="H25" i="15" s="1"/>
  <c r="F26" i="15"/>
  <c r="H26" i="15" s="1"/>
  <c r="F28" i="15"/>
  <c r="H28" i="15" s="1"/>
  <c r="F29" i="15"/>
  <c r="H29" i="15" s="1"/>
  <c r="H30" i="15"/>
  <c r="F31" i="15"/>
  <c r="H31" i="15" s="1"/>
  <c r="D110" i="16" l="1"/>
  <c r="D111" i="16" s="1"/>
  <c r="D113" i="16" s="1"/>
  <c r="F13" i="15"/>
  <c r="H13" i="15" s="1"/>
  <c r="F21" i="15"/>
  <c r="H21" i="15" s="1"/>
  <c r="H35" i="15" s="1"/>
  <c r="F32" i="15"/>
  <c r="F12" i="15"/>
  <c r="H12" i="15" s="1"/>
  <c r="F11" i="15"/>
  <c r="H11" i="15" s="1"/>
  <c r="F10" i="15"/>
  <c r="H10" i="15" s="1"/>
  <c r="F9" i="15"/>
  <c r="H9" i="15" s="1"/>
  <c r="F8" i="15"/>
  <c r="H8" i="15" s="1"/>
  <c r="F7" i="15"/>
  <c r="H7" i="15" s="1"/>
  <c r="F6" i="15"/>
  <c r="H6" i="15" s="1"/>
  <c r="D140" i="38" l="1"/>
  <c r="D140" i="16"/>
  <c r="C19" i="33"/>
  <c r="C20" i="33" s="1"/>
  <c r="D127" i="16"/>
  <c r="D125" i="16"/>
  <c r="D126" i="16"/>
  <c r="D128" i="16"/>
  <c r="D118" i="16"/>
  <c r="D119" i="16" s="1"/>
  <c r="C120" i="16" s="1"/>
  <c r="D158" i="16"/>
  <c r="D123" i="16"/>
  <c r="D124" i="16"/>
  <c r="H15" i="15"/>
  <c r="D139" i="38" l="1"/>
  <c r="D144" i="38" s="1"/>
  <c r="D139" i="16"/>
  <c r="D129" i="16"/>
  <c r="D133" i="16" s="1"/>
  <c r="D120" i="16"/>
  <c r="D132" i="16" s="1"/>
  <c r="D160" i="38" l="1"/>
  <c r="D161" i="38" s="1"/>
  <c r="D146" i="38"/>
  <c r="D151" i="38" s="1"/>
  <c r="D152" i="38" s="1"/>
  <c r="D162" i="38" s="1"/>
  <c r="D134" i="16"/>
  <c r="D159" i="16" s="1"/>
  <c r="D163" i="38" l="1"/>
  <c r="E6" i="13" s="1"/>
  <c r="D144" i="16"/>
  <c r="D160" i="16" l="1"/>
  <c r="D161" i="16" s="1"/>
  <c r="D146" i="16"/>
  <c r="D151" i="16" l="1"/>
  <c r="D152" i="16" s="1"/>
  <c r="D162" i="16" s="1"/>
  <c r="D163" i="16" s="1"/>
  <c r="E5" i="13" s="1"/>
  <c r="G5" i="13" l="1"/>
  <c r="G6" i="13"/>
  <c r="I6" i="13" s="1"/>
  <c r="I7" i="13"/>
  <c r="I5" i="13" l="1"/>
  <c r="I9" i="13" s="1"/>
  <c r="G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G2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32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</commentList>
</comments>
</file>

<file path=xl/sharedStrings.xml><?xml version="1.0" encoding="utf-8"?>
<sst xmlns="http://schemas.openxmlformats.org/spreadsheetml/2006/main" count="1083" uniqueCount="527">
  <si>
    <t xml:space="preserve">ANEXO IV  </t>
  </si>
  <si>
    <t>Quadro-resumo – VALOR MENSAL DOS SERVIÇOS</t>
  </si>
  <si>
    <t>Item</t>
  </si>
  <si>
    <t>Tipo de Servio</t>
  </si>
  <si>
    <t>Localidade</t>
  </si>
  <si>
    <t>Valor Unitário do Item [A]</t>
  </si>
  <si>
    <t>Qtde postos [B]</t>
  </si>
  <si>
    <t>Valor Mensal [C = A x B]</t>
  </si>
  <si>
    <t>Qtde Item (meses) [D]</t>
  </si>
  <si>
    <t>TOTAL ANUAL [E = C * D]</t>
  </si>
  <si>
    <t>Mão de obra exclusiva - Oficial de Manutenção Predial</t>
  </si>
  <si>
    <t>Delegacia em Itajaí (IJI)</t>
  </si>
  <si>
    <t>Mão de obra exclusiva - Eletrotécnico</t>
  </si>
  <si>
    <t>Mão de obra eventual</t>
  </si>
  <si>
    <t>-</t>
  </si>
  <si>
    <t>Peças e Materiais - ANEXO V</t>
  </si>
  <si>
    <t>VALOR TOTAL</t>
  </si>
  <si>
    <t>PLANILHA DE CUSTOS E FORMAÇÃO DE PREÇOS</t>
  </si>
  <si>
    <t xml:space="preserve">Nº Processo </t>
  </si>
  <si>
    <t>08492.006480/2021-72</t>
  </si>
  <si>
    <t xml:space="preserve">Licitação </t>
  </si>
  <si>
    <t>xx/2022-200370</t>
  </si>
  <si>
    <t>Discriminação dos Serviços (dados referentes à contratação)</t>
  </si>
  <si>
    <t xml:space="preserve">A </t>
  </si>
  <si>
    <t>Data de apresentação da proposta (dia/mês/ano)</t>
  </si>
  <si>
    <t>xx/xx/xxxx</t>
  </si>
  <si>
    <t>B</t>
  </si>
  <si>
    <t>Município/UF</t>
  </si>
  <si>
    <r>
      <rPr>
        <b/>
        <sz val="11"/>
        <color rgb="FF000000"/>
        <rFont val="Franklin Gothic Book"/>
        <family val="2"/>
      </rPr>
      <t>Florianópolis</t>
    </r>
    <r>
      <rPr>
        <sz val="11"/>
        <color rgb="FF000000"/>
        <rFont val="Franklin Gothic Book"/>
        <family val="2"/>
      </rPr>
      <t xml:space="preserve"> - Santa Catarina</t>
    </r>
  </si>
  <si>
    <t>C</t>
  </si>
  <si>
    <t>Ano Acordo, Convenção ou Sentença Normativa em Dissídio Coletivo</t>
  </si>
  <si>
    <t>D</t>
  </si>
  <si>
    <t>Tipo de serviço</t>
  </si>
  <si>
    <t>Continuado</t>
  </si>
  <si>
    <t>E</t>
  </si>
  <si>
    <t>Unidade de medida</t>
  </si>
  <si>
    <t>Posto</t>
  </si>
  <si>
    <t>F</t>
  </si>
  <si>
    <t>Quantidade (total) a contratar (em função da unidade de medida)</t>
  </si>
  <si>
    <t>G</t>
  </si>
  <si>
    <t>Nº de meses de execução contratual</t>
  </si>
  <si>
    <t>Mão-de-obra</t>
  </si>
  <si>
    <t>Módulo de Mão-de-obra vinculada à execução contratual Unidade de medida - tipos e quantidades</t>
  </si>
  <si>
    <t>Tipo de serviço (mesmo serviço com características distintas)</t>
  </si>
  <si>
    <t>Quantidade</t>
  </si>
  <si>
    <t>OFICIAL DE MANUTENÇÃO (43 horas semanais)</t>
  </si>
  <si>
    <t>Classificação Brasileira de Ocupações</t>
  </si>
  <si>
    <t>5143-25</t>
  </si>
  <si>
    <t>Dados complementares para composição dos custos referente à mão-de-obra</t>
  </si>
  <si>
    <t>Salário Normativo da Categoria Profissional</t>
  </si>
  <si>
    <t>Categoria profissional (vinculada à execução contratual)</t>
  </si>
  <si>
    <t>Oficial de Manutenção</t>
  </si>
  <si>
    <t>Data base da categoria (dia/mês/ano)</t>
  </si>
  <si>
    <t>MÓDULO 1: COMPOSIÇÃO DA REMUNERAÇÃO</t>
  </si>
  <si>
    <t>Composição da remuneração</t>
  </si>
  <si>
    <t>Valor (R$)</t>
  </si>
  <si>
    <t>A</t>
  </si>
  <si>
    <t>Salário Base (Quantidade de horas/mês)</t>
  </si>
  <si>
    <t>Adicional de periculosidade</t>
  </si>
  <si>
    <t>Adicional de insalubridade</t>
  </si>
  <si>
    <t>Intervalo Intrajornada</t>
  </si>
  <si>
    <t>Adicional Noturno</t>
  </si>
  <si>
    <t>Adicional de hora noturna reduzida</t>
  </si>
  <si>
    <t>Outros (especificar)</t>
  </si>
  <si>
    <t>Total da Remuneração</t>
  </si>
  <si>
    <t>MÓDULO 2: ENCARGOS E BENEFÍCIOS ANUAIS, MENSAIS E DIÁRIOS</t>
  </si>
  <si>
    <t xml:space="preserve">2.1 </t>
  </si>
  <si>
    <t>13º (décimo terceiro) Salário, Férias e Adicional de Férias</t>
  </si>
  <si>
    <t>%</t>
  </si>
  <si>
    <t>13º (décimo terceiro) Salário</t>
  </si>
  <si>
    <t>Adicional de Férias</t>
  </si>
  <si>
    <t>B.1</t>
  </si>
  <si>
    <t>Venda de Férias</t>
  </si>
  <si>
    <t>Total</t>
  </si>
  <si>
    <t>2.2</t>
  </si>
  <si>
    <t>GPS, FGTS e outras contribuições</t>
  </si>
  <si>
    <t>INSS</t>
  </si>
  <si>
    <t>Salário Educação</t>
  </si>
  <si>
    <t>SAT - Seg. acid. de trabalho (Cálculo=RATxFAP)</t>
  </si>
  <si>
    <t>SESC ou SESI</t>
  </si>
  <si>
    <t>SENAC ou SENAI</t>
  </si>
  <si>
    <t>SEBRAE</t>
  </si>
  <si>
    <t>INCRA</t>
  </si>
  <si>
    <t>H</t>
  </si>
  <si>
    <t>FGTS</t>
  </si>
  <si>
    <t xml:space="preserve">2.3 </t>
  </si>
  <si>
    <t>Benefícios Mensais e Diários</t>
  </si>
  <si>
    <t>Valor unitário</t>
  </si>
  <si>
    <t>Transporte</t>
  </si>
  <si>
    <t>Auxílio-Refeição/Alimentação</t>
  </si>
  <si>
    <t>B1</t>
  </si>
  <si>
    <t>Desconto empregado</t>
  </si>
  <si>
    <t>Assistência Médica e Familiar</t>
  </si>
  <si>
    <t>Benefício de Assistência ao Trabalhador</t>
  </si>
  <si>
    <t>Prêmio Assiduidade</t>
  </si>
  <si>
    <t>Contribuição Sindicato Patronal</t>
  </si>
  <si>
    <t>Total de Encargos e Benefícios</t>
  </si>
  <si>
    <t>Quadro-Resumo - Módulo 2 - Encargos e Benefícios Anuais, Mensais e Diários</t>
  </si>
  <si>
    <t>2.1</t>
  </si>
  <si>
    <t>2.3</t>
  </si>
  <si>
    <t>MÓDULO 3 - CUSTOS COM RESCISÃO</t>
  </si>
  <si>
    <t>3.1</t>
  </si>
  <si>
    <t>Provisão para Aviso Prévio Indenizado</t>
  </si>
  <si>
    <t>Valor do período de Trabalho Indenizado devido</t>
  </si>
  <si>
    <t>Σ</t>
  </si>
  <si>
    <t>A.1</t>
  </si>
  <si>
    <t>Remuneração (30 dias + acréscimo 3 dias/ano)</t>
  </si>
  <si>
    <t>A.2</t>
  </si>
  <si>
    <t>13º Salário proporcional ao Mês Indenizado</t>
  </si>
  <si>
    <t>A.3</t>
  </si>
  <si>
    <t>Férias + 1/3 proporcionais ao Mês Indenizado</t>
  </si>
  <si>
    <t>A.4</t>
  </si>
  <si>
    <t>FGTS do Mês Indenizado (Rem. + 13º)</t>
  </si>
  <si>
    <t>Multa do FGTS sobre o Aviso Prévio Indenizado</t>
  </si>
  <si>
    <t>Incidência do FGTS sobre o montante de depósitos</t>
  </si>
  <si>
    <t>B.1.1</t>
  </si>
  <si>
    <t>Montante dos depósitos realizado nos meses de serviços prestados</t>
  </si>
  <si>
    <t>B.1.1.1</t>
  </si>
  <si>
    <t>Remuneração</t>
  </si>
  <si>
    <t>B.1.1.2</t>
  </si>
  <si>
    <t>13º Salário integral</t>
  </si>
  <si>
    <t>B.1.1.3</t>
  </si>
  <si>
    <t>Férias + 1/3 constitucional (usufruídas)</t>
  </si>
  <si>
    <t>3.2</t>
  </si>
  <si>
    <t>Provisão para Aviso Prévio Trabalhado</t>
  </si>
  <si>
    <t>+ 7 dias ( parágrafo único do art. 488 da CLT)</t>
  </si>
  <si>
    <t>Remuneração (30 dias)</t>
  </si>
  <si>
    <t>13º Salário proporcional</t>
  </si>
  <si>
    <t>Férias + 1/3 proporcionais</t>
  </si>
  <si>
    <t>Incidência dos encargos do submódulo 2.2 sobre o Aviso Prévio Trabalhado</t>
  </si>
  <si>
    <t>A.5</t>
  </si>
  <si>
    <t>Submódulo 2.3 (Benefícios mensais) referente ao mês trabalhado</t>
  </si>
  <si>
    <t>Multa do FGTS</t>
  </si>
  <si>
    <t>3.3</t>
  </si>
  <si>
    <t>Férias proporcionais das verbas rescisórias (sem incidência de FGTS)</t>
  </si>
  <si>
    <t>Férias proporcionais devidas</t>
  </si>
  <si>
    <t>1/3 Consitucional de férias proporcionais devidos</t>
  </si>
  <si>
    <t xml:space="preserve"> Férias indenizadas por venda - sem incidência de FGTS</t>
  </si>
  <si>
    <t>Quadro-Resumo - Módulo 3 - CUSTO COM RESCISÃO</t>
  </si>
  <si>
    <t>SubTotal de Custo proporcional para Rescisão</t>
  </si>
  <si>
    <t>Proporção desligamentos com custos (vigência do contrato)</t>
  </si>
  <si>
    <t>Provisão Mensal</t>
  </si>
  <si>
    <t>Férias proporcionais da rescisão (sem incidência de FGTS)</t>
  </si>
  <si>
    <t>Total de Provisão para Rescisão</t>
  </si>
  <si>
    <t>MÓDULO 4 - CUSTO DE REPOSIÇÃO DO PROFISSIONAL AUSENTE</t>
  </si>
  <si>
    <t>4.1</t>
  </si>
  <si>
    <t>Férias</t>
  </si>
  <si>
    <t>Substituto - Cobertura Férias</t>
  </si>
  <si>
    <t>Venda de Férias (Módulo 2.1-B-1)</t>
  </si>
  <si>
    <t>SubTotal</t>
  </si>
  <si>
    <t>4.2</t>
  </si>
  <si>
    <t>Demais Ausências</t>
  </si>
  <si>
    <t>Substituto para Faltas Injustificáveis</t>
  </si>
  <si>
    <t>Substituto - Cobertura ausência por doenças</t>
  </si>
  <si>
    <t>Substituto - Cobertura Acidente de trabalho</t>
  </si>
  <si>
    <t>Substituto - Cobertura Ausências Legais</t>
  </si>
  <si>
    <t>Substituto - Cobertura Licença-Paternidade</t>
  </si>
  <si>
    <t>Substituto - Cobertura Afastamento Maternidade</t>
  </si>
  <si>
    <t>Quadro-Resumo - Módulo 4 - CRPA</t>
  </si>
  <si>
    <t>MÓDULO 5 - INSUMOS DIVERSOS E OUTROS EXTRAS</t>
  </si>
  <si>
    <t>Insumos</t>
  </si>
  <si>
    <t>Uniforme e EPI</t>
  </si>
  <si>
    <r>
      <t>Materiais de apoio/Ferramentas (valor conforme nº funcionário/</t>
    </r>
    <r>
      <rPr>
        <sz val="11"/>
        <color rgb="FF7030A0"/>
        <rFont val="Franklin Gothic Book"/>
        <family val="2"/>
      </rPr>
      <t>posto</t>
    </r>
    <r>
      <rPr>
        <sz val="11"/>
        <color theme="1"/>
        <rFont val="Franklin Gothic Book"/>
        <family val="2"/>
      </rPr>
      <t>)</t>
    </r>
  </si>
  <si>
    <r>
      <t>PCMSO e PPRA - SESMT</t>
    </r>
    <r>
      <rPr>
        <sz val="11"/>
        <rFont val="Franklin Gothic Book"/>
        <family val="2"/>
      </rPr>
      <t xml:space="preserve"> (valor conforme nº funcionário/</t>
    </r>
    <r>
      <rPr>
        <sz val="11"/>
        <color rgb="FF7030A0"/>
        <rFont val="Franklin Gothic Book"/>
        <family val="2"/>
      </rPr>
      <t>localidade</t>
    </r>
    <r>
      <rPr>
        <sz val="11"/>
        <rFont val="Franklin Gothic Book"/>
        <family val="2"/>
      </rPr>
      <t>)</t>
    </r>
    <r>
      <rPr>
        <sz val="11"/>
        <color rgb="FFFF0000"/>
        <rFont val="Franklin Gothic Book"/>
        <family val="2"/>
      </rPr>
      <t xml:space="preserve"> [FATO GERADOR]</t>
    </r>
  </si>
  <si>
    <t>Total de Insumos Diversos</t>
  </si>
  <si>
    <t>TOTAL PARCIAL: MÓDULO 1 + 2 + 3 + 4+ 5</t>
  </si>
  <si>
    <t>MÓDULO 6 - BONIFICAÇÃO E DESPESAS INDIRETAS - BDI</t>
  </si>
  <si>
    <t>Custos Indiretos, Tributos e Lucro</t>
  </si>
  <si>
    <t>BDI</t>
  </si>
  <si>
    <t>Total de Custos Indiretos, Tributos e Lucro</t>
  </si>
  <si>
    <t>QUADRO-RESUMO DO CUSTO MENSAL POR EMPREGADO</t>
  </si>
  <si>
    <t xml:space="preserve">Mão de obra vinculada à execução contratual 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</si>
  <si>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</si>
  <si>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</si>
  <si>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</si>
  <si>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</si>
  <si>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</si>
  <si>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</si>
  <si>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 xml:space="preserve">F </t>
  </si>
  <si>
    <t>Módulo 6 – Custos Indiretos, Tributos e Lucro</t>
  </si>
  <si>
    <t>Valor Total Mensal por Empregado</t>
  </si>
  <si>
    <t>ELETROTÉCNICO (43 horas semanais)</t>
  </si>
  <si>
    <t>3131-05</t>
  </si>
  <si>
    <t>Eletrotécnico</t>
  </si>
  <si>
    <t>MÓDULO 5 - INSUMOS DIVERSOS</t>
  </si>
  <si>
    <t>ANEXO IV - SERVIÇOS EVENTUAIS</t>
  </si>
  <si>
    <t>PLANILHA ESTIMATIVA DE CUSTOS SERVIÇOS EVENTUAIS - SOB DEMANDA - DPF/IJI/SC</t>
  </si>
  <si>
    <t>ESTIMATIVA ANUAL</t>
  </si>
  <si>
    <t>5 - Categorias Profissionais e carga horária</t>
  </si>
  <si>
    <t>Und.</t>
  </si>
  <si>
    <t>Valor unitário da hora</t>
  </si>
  <si>
    <t xml:space="preserve">Quantidade de horas estimadas </t>
  </si>
  <si>
    <t>Valor Mensal hora com Horário Normal</t>
  </si>
  <si>
    <t>Valor Mensal da hora com adicional de 50%</t>
  </si>
  <si>
    <t>Valor Mensal da hora com adicional de 100%</t>
  </si>
  <si>
    <t>Subtotal Anual (R$)</t>
  </si>
  <si>
    <r>
      <t>I.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Serralheiro (CBO 7244-40)</t>
    </r>
  </si>
  <si>
    <t>hora</t>
  </si>
  <si>
    <t>II. Eletrotécnico (CBO 3131-05)</t>
  </si>
  <si>
    <r>
      <t>IV.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Auxiliar de manutenção (CBO 5143-25)</t>
    </r>
  </si>
  <si>
    <t>VALOR ANUAL ESTIMADO DE SERVIÇOS EVENTUAIS</t>
  </si>
  <si>
    <t>BDI DIFERENCIADO</t>
  </si>
  <si>
    <t>VALOR TOTAL ANUAL C/BDI DIFERENCIADO</t>
  </si>
  <si>
    <t>VALOR TOTAL MENSAL C/BDI DIFERENCIADO</t>
  </si>
  <si>
    <t>Item 1   ELÉTRICA</t>
  </si>
  <si>
    <t>DESCRIÇÃO</t>
  </si>
  <si>
    <t>Unid.</t>
  </si>
  <si>
    <t xml:space="preserve"> Preço  Unitário (R$)</t>
  </si>
  <si>
    <t>Qtde. anual estimada</t>
  </si>
  <si>
    <t xml:space="preserve">Total Custo Anual (R$) </t>
  </si>
  <si>
    <t>1.1</t>
  </si>
  <si>
    <t>Abraçadeira de nylon para amarração de cabos, comprim= 150MM</t>
  </si>
  <si>
    <t>un</t>
  </si>
  <si>
    <t>1.2</t>
  </si>
  <si>
    <t>Abraçadeira de nylon para amarração de cabos, comprim= 200MM</t>
  </si>
  <si>
    <t>1.3</t>
  </si>
  <si>
    <t>Abraçadeira tipo D 3/4"</t>
  </si>
  <si>
    <t>1.4</t>
  </si>
  <si>
    <t>Abraçadeira tipo U 3/4"</t>
  </si>
  <si>
    <t xml:space="preserve">un </t>
  </si>
  <si>
    <t>1.5</t>
  </si>
  <si>
    <t xml:space="preserve">Automático de boia superior/inferior </t>
  </si>
  <si>
    <t>1.6</t>
  </si>
  <si>
    <t>Bucha nylon S-6 c/ parafuso aço zinc cab chata rosca soberba 4,2 X 40mm</t>
  </si>
  <si>
    <t>1.7</t>
  </si>
  <si>
    <t>Bucha nylon S-8 c/ parafuso aço zinc cab chata rosca soberba 4,8 X 50mm</t>
  </si>
  <si>
    <t>1.8</t>
  </si>
  <si>
    <t>Cabo de cobre isolamento anti-chama 0,6/1KV 10,0MM2 (1 condutor)</t>
  </si>
  <si>
    <t>m</t>
  </si>
  <si>
    <t>1.9</t>
  </si>
  <si>
    <t>Cabo de cobre isolamento anti-chama 0,6/1KV 2,5MM2 (1 condutor)</t>
  </si>
  <si>
    <t>1.10</t>
  </si>
  <si>
    <t>Cabo de cobre isolamento anti-chama 0,6/1KV 4,0MM2 (1 condutor)</t>
  </si>
  <si>
    <t>1.11</t>
  </si>
  <si>
    <t>Cabo de cobre isolamento anti-chama 0,6/1KV 6,0MM2 (1 condutor)</t>
  </si>
  <si>
    <t>1.12</t>
  </si>
  <si>
    <t>Cabo flexivel PVC de 10mm</t>
  </si>
  <si>
    <t>1.13</t>
  </si>
  <si>
    <t>CHUVEIRO COMUM EM PLASTICO BRANCO, COM CANO, 3 TEMPERATURAS, 5500 W (110/220 V)</t>
  </si>
  <si>
    <t>1.14</t>
  </si>
  <si>
    <t>Condulete tipo "C" em liga aluminio p/ eletroduto roscado 3/4"</t>
  </si>
  <si>
    <t>1.15</t>
  </si>
  <si>
    <t>Condulete tipo "E" em liga aluminio p/ eletroduto roscado 3/4"</t>
  </si>
  <si>
    <t>1.16</t>
  </si>
  <si>
    <t>Condulete tipo "LR" em liga aluminio p/ eletroduto roscado 3/4"</t>
  </si>
  <si>
    <t>1.17</t>
  </si>
  <si>
    <t>Conector tipo parafuso fendido (SPLIT-BOLT) 16mm</t>
  </si>
  <si>
    <t>1.18</t>
  </si>
  <si>
    <t>Curva 135 graus aço galv eletrolítico 3/4" p/ eletroduto</t>
  </si>
  <si>
    <t>1.19</t>
  </si>
  <si>
    <t>Eletroduto ferro galvanizado 3/4"</t>
  </si>
  <si>
    <t>1.20</t>
  </si>
  <si>
    <t>Eletroduto metálico flexível rev ext PVC preto 15mm (3/8") tipo copex ou equiv</t>
  </si>
  <si>
    <t>1.21</t>
  </si>
  <si>
    <t>Eletroduto PVC  3/4"</t>
  </si>
  <si>
    <t>1.22</t>
  </si>
  <si>
    <t>Fio cobre isolado paralelo 2 X 1,5mm²</t>
  </si>
  <si>
    <t>1.23</t>
  </si>
  <si>
    <t>Fita isiolante adesiva anti-chama 19mm X 20m</t>
  </si>
  <si>
    <t>1.24</t>
  </si>
  <si>
    <t>Fita isolante auto fusão</t>
  </si>
  <si>
    <t>1.25</t>
  </si>
  <si>
    <t>Interruptor paralelo 10A, 250V (módulo)</t>
  </si>
  <si>
    <t>1.26</t>
  </si>
  <si>
    <t>Interruptor simples 10A, 250V (conjunto)</t>
  </si>
  <si>
    <t>1.27</t>
  </si>
  <si>
    <t>Interruptor simples 10A, 250V (módulo)</t>
  </si>
  <si>
    <t>1.28</t>
  </si>
  <si>
    <t>LAMPADA LED 6 W BIVOLT BRANCA, FORMATO TRADICIONAL (BASE E27)</t>
  </si>
  <si>
    <t>1.29</t>
  </si>
  <si>
    <t>LAMPADA LED TIPO DICROICA BIVOLT, LUZ BRANCA, 5 W (BASE GU10)</t>
  </si>
  <si>
    <t>1.30</t>
  </si>
  <si>
    <t>LAMPADA LED TUBULAR BIVOLT 18/20 W, BASE G13</t>
  </si>
  <si>
    <t>1.31</t>
  </si>
  <si>
    <t xml:space="preserve">Luminaria de emergencia, 2W, autonomia de 6 horas </t>
  </si>
  <si>
    <t>1.32</t>
  </si>
  <si>
    <t>Refletor redondo em aluminio, E-27</t>
  </si>
  <si>
    <t>1.33</t>
  </si>
  <si>
    <t>Solda estanho/cobre para conexões de cobre, fio 2,5m</t>
  </si>
  <si>
    <t>1.34</t>
  </si>
  <si>
    <t>Soquete de PVC (BASE E-27) com chave</t>
  </si>
  <si>
    <t>1.35</t>
  </si>
  <si>
    <t>Soquete de PVC (BASE E-27) com rabicho</t>
  </si>
  <si>
    <t>1.36</t>
  </si>
  <si>
    <t>Suporte 4x2 pial plus</t>
  </si>
  <si>
    <t>1.37</t>
  </si>
  <si>
    <t>Tampa cega em PVC 4x2"</t>
  </si>
  <si>
    <t>1.38</t>
  </si>
  <si>
    <t>Tampa para condulete em PVC com 1 a 3 postos para interruprtor</t>
  </si>
  <si>
    <t>1.39</t>
  </si>
  <si>
    <t>Tomada 2P+T 10A, 250V (apenas módulo)</t>
  </si>
  <si>
    <t>1.40</t>
  </si>
  <si>
    <t>Tomada embutir 2P + T 10A/250V c/placa</t>
  </si>
  <si>
    <t>SUB-TOTAL ELÉTRICA</t>
  </si>
  <si>
    <t>ANUAL</t>
  </si>
  <si>
    <t>MENSAL</t>
  </si>
  <si>
    <t>Item 2 HIDRÁU-LICA</t>
  </si>
  <si>
    <t xml:space="preserve"> Preço R$</t>
  </si>
  <si>
    <t>Adesivo plástico para PVC bisnaga (150g)</t>
  </si>
  <si>
    <t>ANEL BORRACHA, DN 150 MM, PARA TUBO SERIE REFORCADA ESGOTO PREDIAL</t>
  </si>
  <si>
    <t>Anel de borracha 40mm</t>
  </si>
  <si>
    <t>2.4</t>
  </si>
  <si>
    <t>Anel de borracha 50mm</t>
  </si>
  <si>
    <t>2.5</t>
  </si>
  <si>
    <t>APARELHO SINALIZADOR LUMINOSO COM LED, PARA SAIDA GARAGEM, COM 2 LENTES EM POLICARBONATO, BIVOLT (INCLUI SUPORTE DE FIXACAO)</t>
  </si>
  <si>
    <t>2.6</t>
  </si>
  <si>
    <t>Areia lavada fina</t>
  </si>
  <si>
    <t>m³</t>
  </si>
  <si>
    <t>2.7</t>
  </si>
  <si>
    <t>AREIA MEDIA - POSTO JAZIDA/FORNECEDOR (RETIRADO NA JAZIDA, SEM TRANSPORTE)</t>
  </si>
  <si>
    <t>2.8</t>
  </si>
  <si>
    <t>ARGAMASSA COLANTE TIPO ACIII E</t>
  </si>
  <si>
    <t>kg</t>
  </si>
  <si>
    <t>2.9</t>
  </si>
  <si>
    <t>Argamassa ou cimento colante em pó para fixação de peças cerâmicas</t>
  </si>
  <si>
    <t>2.10</t>
  </si>
  <si>
    <t>ARGAMASSA PISO SOBRE PISO</t>
  </si>
  <si>
    <t>2.11</t>
  </si>
  <si>
    <t>ASSENTO SANITARIO DE PLASTICO, TIPO CONVENCIONAL</t>
  </si>
  <si>
    <t>2.12</t>
  </si>
  <si>
    <t>BACIA SANITARIA (VASO) CONVENCIONAL DE LOUCA BRANCA</t>
  </si>
  <si>
    <t>2.13</t>
  </si>
  <si>
    <t>Chave de engate rápido p/ conexões tipo Stortz - para conexões de 1. 1/2" e 2. 1/2"</t>
  </si>
  <si>
    <t>2.14</t>
  </si>
  <si>
    <t>CIMENTO PORTLAND POZOLANICO CP IV- 32</t>
  </si>
  <si>
    <t>50KG</t>
  </si>
  <si>
    <t>2.15</t>
  </si>
  <si>
    <t>Cola Plástica Adesiva para Mármore</t>
  </si>
  <si>
    <t>2.16</t>
  </si>
  <si>
    <t>Cuba inox de embutir com valvula de 3 1/2", de 56 X 33 X 12* cm</t>
  </si>
  <si>
    <t>2.17</t>
  </si>
  <si>
    <t>DIVISORIA EM MARMORE, COM DUAS FACES POLIDAS, BRANCO COMUM, E=  *3,0* CM</t>
  </si>
  <si>
    <t>m²</t>
  </si>
  <si>
    <t>2.18</t>
  </si>
  <si>
    <t>ENGATE/RABICHO FLEXIVEL PLASTICO (PVC OU ABS) BRANCO 1/2 " X 40 CM</t>
  </si>
  <si>
    <t>2.19</t>
  </si>
  <si>
    <t>Fita veda rosca 18x50</t>
  </si>
  <si>
    <t>2.20</t>
  </si>
  <si>
    <t>Fundo antocorrosivo para metais ferrosos (Zarcão)</t>
  </si>
  <si>
    <t>L</t>
  </si>
  <si>
    <t>2.21</t>
  </si>
  <si>
    <t>Gesso em pó</t>
  </si>
  <si>
    <t>2.22</t>
  </si>
  <si>
    <t>Graute cimenticio para uso geral</t>
  </si>
  <si>
    <t>2.23</t>
  </si>
  <si>
    <t>LAVATORIO/CUBA DE EMBUTIR OVAL LOUCA COR SEM LADRAO *50 X 35* CM</t>
  </si>
  <si>
    <t>2.24</t>
  </si>
  <si>
    <t>Mangueira de incêndio, tipo 2, diâmetro 1. 1/2 ", comprimento: 15,00 m (revestimento: poliéster e borracha)</t>
  </si>
  <si>
    <t>2.25</t>
  </si>
  <si>
    <t>Massa corrida PVA para paredes internas</t>
  </si>
  <si>
    <t>2.26</t>
  </si>
  <si>
    <t>MICTORIO SIFONADO LOUCA BRANCA SEM COMPLEMENTOS</t>
  </si>
  <si>
    <t>2.27</t>
  </si>
  <si>
    <t>MOLA AEREA FECHA PORTA, PARA PORTAS COM LARGURA ATE 110 CM</t>
  </si>
  <si>
    <t>2.28</t>
  </si>
  <si>
    <t>Parafuso de latão com rosca diametro 2,5mm, comprimento 12mm</t>
  </si>
  <si>
    <t>2.29</t>
  </si>
  <si>
    <t>Parafuso de latão com rosca diametro 3,2mm, comprimento 16mm</t>
  </si>
  <si>
    <t>2.30</t>
  </si>
  <si>
    <t>Parafuso de latão com rosca diametro 4,8mm, comprimento 65mm</t>
  </si>
  <si>
    <t>2.31</t>
  </si>
  <si>
    <t>Parafuso de latao cromado para fixar peça sanitária tamanho S-10</t>
  </si>
  <si>
    <t>2.32</t>
  </si>
  <si>
    <t>Pasta lubrificante pote (400g)</t>
  </si>
  <si>
    <t>2.33</t>
  </si>
  <si>
    <t>PASTILHA CERAMICA/PORCELANA, REVEST INT/EXT E  PISCINA, CORES QUENTES *5 X 5* CM</t>
  </si>
  <si>
    <t>2.34</t>
  </si>
  <si>
    <t>PEDRA QUARTZITO OU CALCARIO LAMINADO, SERRADA, TIPO CARIRI, ITACOLOMI, LAGOA SANTA, LUMINARIA, PIRENOPOLIS, SAO TOME OU OUTRAS SIMILARES DA REGIAO, *20 X *40 CM, E=  *1,5 A *2,5 CM</t>
  </si>
  <si>
    <t>2.35</t>
  </si>
  <si>
    <t>PISO EM PORCELANATO RETIFICADO EXTRA, FORMATO MENOR OU IGUAL A 2025 CM2</t>
  </si>
  <si>
    <t>2.36</t>
  </si>
  <si>
    <t>PLACA DE GESSO PARA FORRO, DE  *60 X 60* CM E ESPESSURA DE 12 MM (30 MM NAS BORDAS) SEM COLOCACAO</t>
  </si>
  <si>
    <t>2.37</t>
  </si>
  <si>
    <t>Extintor de incêndio com carga de água pressurizada - 10 L</t>
  </si>
  <si>
    <t>2.38</t>
  </si>
  <si>
    <t xml:space="preserve">Extintor de incêndio com carga de gás carbônico - 6kg </t>
  </si>
  <si>
    <t>2.39</t>
  </si>
  <si>
    <t>Extintor de incêndio com carga de gás carbônico - 4kg</t>
  </si>
  <si>
    <t>2.40</t>
  </si>
  <si>
    <t>Extintor de incêndio com carga de pó químico seco PQS - 4kg (BC)</t>
  </si>
  <si>
    <t>2.41</t>
  </si>
  <si>
    <t>Registro de esfera, PVC, com volante, soldável, 50mm</t>
  </si>
  <si>
    <t>2.42</t>
  </si>
  <si>
    <t>Registro de gaveta 1" - bruto latão</t>
  </si>
  <si>
    <t>2.43</t>
  </si>
  <si>
    <t>Registro de gaveta 1.1/2" - bruto latão</t>
  </si>
  <si>
    <t>2.44</t>
  </si>
  <si>
    <t>Registro de gaveta 2" - bruto latão</t>
  </si>
  <si>
    <t>2.45</t>
  </si>
  <si>
    <t>Registro de gaveta 2.1/2" - bruto latão</t>
  </si>
  <si>
    <t>2.46</t>
  </si>
  <si>
    <t>Registro de gaveta 3" - bruto latão</t>
  </si>
  <si>
    <t>2.47</t>
  </si>
  <si>
    <t>Registro de gaveta 3/4" - bruto latão</t>
  </si>
  <si>
    <t>2.48</t>
  </si>
  <si>
    <t>Registro de pressão 1/2" c/ canopla e acabamento cromado simples</t>
  </si>
  <si>
    <t>2.49</t>
  </si>
  <si>
    <t>Registro de pressão 3/4" c/ canopla e acabamento cromado simples</t>
  </si>
  <si>
    <t>2.50</t>
  </si>
  <si>
    <t>Registro p/ válvula globo angular 45º  para hidrante (diâmetro da seção: 2 1/2 ")</t>
  </si>
  <si>
    <t>2.51</t>
  </si>
  <si>
    <t>Rolo de lã de carneiro - 23 cm</t>
  </si>
  <si>
    <t>2.52</t>
  </si>
  <si>
    <t>Sifão universal com copo</t>
  </si>
  <si>
    <t>2.53</t>
  </si>
  <si>
    <t>Silicone acetico uso geral incolor 280g</t>
  </si>
  <si>
    <t>2.54</t>
  </si>
  <si>
    <t>TINTA A OLEO BRILHANTE</t>
  </si>
  <si>
    <t>gl</t>
  </si>
  <si>
    <t>2.55</t>
  </si>
  <si>
    <t>TINTA ACRILICA PREMIUM, COR BRANCO FOSCO</t>
  </si>
  <si>
    <t>2.56</t>
  </si>
  <si>
    <t>TINTA ESMALTE SINTETICO PREMIUM FOSCO</t>
  </si>
  <si>
    <t>2.57</t>
  </si>
  <si>
    <t>Válvula de descarga de 1.1/2" com registro e acabamento em metal</t>
  </si>
  <si>
    <t>2.58</t>
  </si>
  <si>
    <t>VALVULA DE DESCARGA EM METAL CROMADO PARA MICTORIO COM ACIONAMENTO POR PRESSAO E FECHAMENTO AUTOMATICO</t>
  </si>
  <si>
    <t>2.59</t>
  </si>
  <si>
    <t>VALVULA DE DESCARGA METALICA, BASE 1 1/4 " E ACABAMENTO METALICO CROMADO</t>
  </si>
  <si>
    <t>2.60</t>
  </si>
  <si>
    <t>Válvula de retenção de bronze horizontal (diâmetro 2 ")</t>
  </si>
  <si>
    <t>2.61</t>
  </si>
  <si>
    <t>Válvula de retenção de bronze horizontal (diâmetro 2. 1/2 ")</t>
  </si>
  <si>
    <t>2.62</t>
  </si>
  <si>
    <t>Válvula de retenção de bronze horizontal (diâmetro 3")</t>
  </si>
  <si>
    <t>2.63</t>
  </si>
  <si>
    <t>Válvula de retenção de bronze vertical (diâmetro 2.1/2")</t>
  </si>
  <si>
    <t>2.64</t>
  </si>
  <si>
    <t>Válvula de retenção de bronze vertical (diâmetro 3")</t>
  </si>
  <si>
    <t>2.65</t>
  </si>
  <si>
    <t>Válvula em metal cromado tipo americana 3.1/2" x 1.1/2" p/ pia cozinha</t>
  </si>
  <si>
    <t>SUB-TOTAL HIDRÁULICA</t>
  </si>
  <si>
    <t>Item 3 -INSUMOS</t>
  </si>
  <si>
    <t>Óleo Diesel Combustível Comum</t>
  </si>
  <si>
    <t>litro</t>
  </si>
  <si>
    <t xml:space="preserve">VALOR GLOBAL ESTIMADO PARA PEÇAS E MATERIAS – (R$) </t>
  </si>
  <si>
    <t>BDI DIFERENCIADO - %</t>
  </si>
  <si>
    <t xml:space="preserve">VALOR GLOBAL ESTIMADO PARA PEÇAS E MATERIAS COM BDI DIFERENCIADO – (R$) </t>
  </si>
  <si>
    <t>MÓDULO 5  - COMPOSIÇÃO VALOR MENSAL</t>
  </si>
  <si>
    <t>A - UNIFORME</t>
  </si>
  <si>
    <t>Discriminação dos Materiais</t>
  </si>
  <si>
    <t>CATMAT</t>
  </si>
  <si>
    <t>Valor Un.</t>
  </si>
  <si>
    <t>Valor Total</t>
  </si>
  <si>
    <t>Durabilidade (meses)</t>
  </si>
  <si>
    <t>Gasto mensal</t>
  </si>
  <si>
    <t>Jaqueta ou Japona</t>
  </si>
  <si>
    <t xml:space="preserve">Calça </t>
  </si>
  <si>
    <t>Camisa - longa</t>
  </si>
  <si>
    <t>camiseta - curta</t>
  </si>
  <si>
    <t>Sapato (normas EPI)</t>
  </si>
  <si>
    <t>Meia longa</t>
  </si>
  <si>
    <t>Cinto</t>
  </si>
  <si>
    <t>Crachá -  SERVIÇO</t>
  </si>
  <si>
    <t>Adequação e Costura (vigência do contrato)  -SERVIÇO</t>
  </si>
  <si>
    <t>TOTAL POR FUNCIONÁRIO</t>
  </si>
  <si>
    <t>B - MATERIAIS DE APOIO E EPI</t>
  </si>
  <si>
    <t>Depreciação mensal</t>
  </si>
  <si>
    <t>Controle de Jornada - Telefone celular</t>
  </si>
  <si>
    <t>Controle de Jornada - Ponto biométrico</t>
  </si>
  <si>
    <t>TOTAL</t>
  </si>
  <si>
    <t>Tipo do posto</t>
  </si>
  <si>
    <t>Nº Funcionários/ posto</t>
  </si>
  <si>
    <t>Valor por posto</t>
  </si>
  <si>
    <t>44 horas</t>
  </si>
  <si>
    <t>C - PPRA e PCMSO</t>
  </si>
  <si>
    <t>Discriminação do Serviçpo</t>
  </si>
  <si>
    <t>Valor Anual</t>
  </si>
  <si>
    <t>(meses)</t>
  </si>
  <si>
    <t>Amortização mensal</t>
  </si>
  <si>
    <t>PPRA e PCMSO</t>
  </si>
  <si>
    <t>Local</t>
  </si>
  <si>
    <t>Nº Vigilantes por localidade</t>
  </si>
  <si>
    <t>Valor / func.</t>
  </si>
  <si>
    <t>DELEGACIA IJI</t>
  </si>
  <si>
    <t>PLANILHA ESTIMATIVA DE CUSTOS HORAS-EXTRAS -DPF/IJI/SC</t>
  </si>
  <si>
    <t>ESTIMATIVA MENSAL</t>
  </si>
  <si>
    <t>5 - Categorias Profissionais</t>
  </si>
  <si>
    <t>Item 1 - Oficial de Manutenção Predial</t>
  </si>
  <si>
    <t>Item 2 - Eletrotécnico</t>
  </si>
  <si>
    <t>Salário Bruto + SubMódulo 2.2</t>
  </si>
  <si>
    <t>Quantidade de horas/mês</t>
  </si>
  <si>
    <t>Valor Unitário da Hora</t>
  </si>
  <si>
    <t>Hora Extra Normal (acréscimo 50% - parágrafo 1º do artigo 59 da CLT)</t>
  </si>
  <si>
    <t>Quantidade de horas estimadas</t>
  </si>
  <si>
    <t>Valor Mensal</t>
  </si>
  <si>
    <t>Hora Extra Normal em horário noturno (acréscimo de 50% + 32,5%)</t>
  </si>
  <si>
    <r>
      <t xml:space="preserve">Hora Extra </t>
    </r>
    <r>
      <rPr>
        <b/>
        <sz val="10"/>
        <color theme="4" tint="-0.249977111117893"/>
        <rFont val="Arial"/>
        <family val="2"/>
      </rPr>
      <t>Feriados</t>
    </r>
    <r>
      <rPr>
        <b/>
        <sz val="10"/>
        <rFont val="Arial"/>
        <family val="2"/>
      </rPr>
      <t xml:space="preserve"> (acréscimo 100% - Art. 9º da Lei nº 605/49)</t>
    </r>
  </si>
  <si>
    <r>
      <t xml:space="preserve">Hora Extra </t>
    </r>
    <r>
      <rPr>
        <b/>
        <sz val="10"/>
        <color theme="4" tint="-0.249977111117893"/>
        <rFont val="Arial"/>
        <family val="2"/>
      </rPr>
      <t>Feriados</t>
    </r>
    <r>
      <rPr>
        <b/>
        <sz val="10"/>
        <rFont val="Arial"/>
        <family val="2"/>
      </rPr>
      <t xml:space="preserve"> em horário noturno (acréscimo de 100% + 32,5%)</t>
    </r>
  </si>
  <si>
    <t>Subtotal (R$)</t>
  </si>
  <si>
    <t>VALOR MENSAL ESTIMADO DE HORAS EXTRAS</t>
  </si>
  <si>
    <t>VALOR MENSAL ESTIMADO DE HORAS EXTRAS COM BDI</t>
  </si>
  <si>
    <t>VALOR ANUAL ESTIMADO DE HORAS EXTRAS COM BDI</t>
  </si>
  <si>
    <t>BONIFICAÇÃO E DESPESAS INDIRETAS - BDI</t>
  </si>
  <si>
    <t>GERAL</t>
  </si>
  <si>
    <t>ITEM</t>
  </si>
  <si>
    <t>DISCRIMINAÇÃO</t>
  </si>
  <si>
    <t>TAXA  (%)</t>
  </si>
  <si>
    <t>ADMINISTRAÇÃO CENTRAL</t>
  </si>
  <si>
    <t>SEGUROS, RISCOS E GARANTIAS</t>
  </si>
  <si>
    <t>DESPESAS FINANCEIRAS</t>
  </si>
  <si>
    <t>TRIBUTOS</t>
  </si>
  <si>
    <t>LUCRO</t>
  </si>
  <si>
    <t>BDI ADOTADO</t>
  </si>
  <si>
    <t>DETALHAMENTO</t>
  </si>
  <si>
    <t>SEGUROS, RISCOS E GARANTIAS CONSIDERADOS</t>
  </si>
  <si>
    <t>Seguros + Garantias</t>
  </si>
  <si>
    <t>Riscos</t>
  </si>
  <si>
    <t>TRIBUTOS CONSIDERADOS</t>
  </si>
  <si>
    <t>ISS</t>
  </si>
  <si>
    <t>PIS</t>
  </si>
  <si>
    <t>4.3</t>
  </si>
  <si>
    <t>COFINS</t>
  </si>
  <si>
    <t>4.4</t>
  </si>
  <si>
    <t>CPRB (*1)</t>
  </si>
  <si>
    <t>CÁLCULO DO BDI (*2)</t>
  </si>
  <si>
    <r>
      <t xml:space="preserve">      </t>
    </r>
    <r>
      <rPr>
        <b/>
        <sz val="10"/>
        <rFont val="Times New Roman"/>
        <family val="1"/>
      </rPr>
      <t>BDI</t>
    </r>
    <r>
      <rPr>
        <sz val="10"/>
        <rFont val="Times New Roman"/>
        <family val="1"/>
      </rPr>
      <t xml:space="preserve"> = </t>
    </r>
    <r>
      <rPr>
        <u/>
        <sz val="10"/>
        <rFont val="Times New Roman"/>
        <family val="1"/>
      </rPr>
      <t>(1+(</t>
    </r>
    <r>
      <rPr>
        <b/>
        <u/>
        <sz val="10"/>
        <rFont val="Times New Roman"/>
        <family val="1"/>
      </rPr>
      <t>AC</t>
    </r>
    <r>
      <rPr>
        <u/>
        <sz val="10"/>
        <rFont val="Times New Roman"/>
        <family val="1"/>
      </rPr>
      <t>+</t>
    </r>
    <r>
      <rPr>
        <b/>
        <u/>
        <sz val="10"/>
        <rFont val="Times New Roman"/>
        <family val="1"/>
      </rPr>
      <t>R</t>
    </r>
    <r>
      <rPr>
        <u/>
        <sz val="10"/>
        <rFont val="Times New Roman"/>
        <family val="1"/>
      </rPr>
      <t>+</t>
    </r>
    <r>
      <rPr>
        <b/>
        <u/>
        <sz val="10"/>
        <rFont val="Times New Roman"/>
        <family val="1"/>
      </rPr>
      <t>S</t>
    </r>
    <r>
      <rPr>
        <u/>
        <sz val="10"/>
        <rFont val="Times New Roman"/>
        <family val="1"/>
      </rPr>
      <t>+</t>
    </r>
    <r>
      <rPr>
        <b/>
        <u/>
        <sz val="10"/>
        <rFont val="Times New Roman"/>
        <family val="1"/>
      </rPr>
      <t>G</t>
    </r>
    <r>
      <rPr>
        <u/>
        <sz val="10"/>
        <rFont val="Times New Roman"/>
        <family val="1"/>
      </rPr>
      <t>))(1+</t>
    </r>
    <r>
      <rPr>
        <b/>
        <u/>
        <sz val="10"/>
        <rFont val="Times New Roman"/>
        <family val="1"/>
      </rPr>
      <t>DF</t>
    </r>
    <r>
      <rPr>
        <u/>
        <sz val="10"/>
        <rFont val="Times New Roman"/>
        <family val="1"/>
      </rPr>
      <t>)(1+</t>
    </r>
    <r>
      <rPr>
        <b/>
        <u/>
        <sz val="10"/>
        <rFont val="Times New Roman"/>
        <family val="1"/>
      </rPr>
      <t>L</t>
    </r>
    <r>
      <rPr>
        <u/>
        <sz val="10"/>
        <rFont val="Times New Roman"/>
        <family val="1"/>
      </rPr>
      <t xml:space="preserve">)  </t>
    </r>
    <r>
      <rPr>
        <sz val="10"/>
        <rFont val="Times New Roman"/>
        <family val="1"/>
      </rPr>
      <t xml:space="preserve"> - 1, onde:</t>
    </r>
  </si>
  <si>
    <r>
      <t>(1-</t>
    </r>
    <r>
      <rPr>
        <b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</si>
  <si>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>AC</t>
    </r>
    <r>
      <rPr>
        <sz val="10"/>
        <rFont val="Times New Roman"/>
        <family val="1"/>
      </rPr>
      <t xml:space="preserve"> = Taxa representativa das despesas de rateio da Administração Central</t>
    </r>
  </si>
  <si>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Taxa representativa de Riscos</t>
    </r>
  </si>
  <si>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Taxa representativa de Seguros</t>
    </r>
  </si>
  <si>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 Taxa representativa de Garantias</t>
    </r>
  </si>
  <si>
    <r>
      <rPr>
        <b/>
        <sz val="10"/>
        <rFont val="Times New Roman"/>
        <family val="1"/>
      </rPr>
      <t>DF</t>
    </r>
    <r>
      <rPr>
        <sz val="10"/>
        <rFont val="Times New Roman"/>
        <family val="1"/>
      </rPr>
      <t xml:space="preserve"> = Taxa representativa de Despesas Financeiras</t>
    </r>
  </si>
  <si>
    <r>
      <rPr>
        <b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 Taxa representativa do Lucro/Remuneração</t>
    </r>
  </si>
  <si>
    <r>
      <rPr>
        <b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Taxa representativa da Incidência de Tributos</t>
    </r>
  </si>
  <si>
    <t>BONIFICAÇÃO E DESPESAS INDIRETAS - BDI DIFERENCIADO</t>
  </si>
  <si>
    <t>BDI DIFERENCIADO ADOTADO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</si>
</sst>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0"/>
    <numFmt numFmtId="166" formatCode="&quot;R$&quot;\ #,##0.00"/>
    <numFmt numFmtId="167" formatCode="0.00000"/>
    <numFmt numFmtId="168" formatCode="0.0"/>
    <numFmt numFmtId="169" formatCode="_-&quot;R$&quot;\ * #,##0.00_-;\(\-&quot;R$&quot;\ * #,##0.00\);_-&quot;R$&quot;\ * &quot;-&quot;??_-;_-@_-"/>
    <numFmt numFmtId="170" formatCode="#,##0_ ;[Red]\-#,##0\ "/>
    <numFmt numFmtId="171" formatCode="_(* #,##0.00_);_(* \(#,##0.00\);_(* \-??_);_(@_)"/>
    <numFmt numFmtId="172" formatCode="&quot;R$&quot;#,##0.00"/>
    <numFmt numFmtId="173" formatCode="#,##0_);\(#,##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Franklin Gothic Book"/>
      <family val="2"/>
    </font>
    <font>
      <sz val="11"/>
      <color theme="2" tint="-0.249977111117893"/>
      <name val="Franklin Gothic Book"/>
      <family val="2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7030A0"/>
      <name val="Franklin Gothic Book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color theme="4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22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2" fillId="13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171" fontId="2" fillId="0" borderId="0" applyFill="0" applyBorder="0" applyAlignment="0" applyProtection="0"/>
    <xf numFmtId="44" fontId="1" fillId="0" borderId="0" applyFont="0" applyFill="0" applyBorder="0" applyAlignment="0" applyProtection="0"/>
  </cellStyleXfs>
  <cellXfs count="515">
    <xf numFmtId="0" fontId="0" fillId="0" borderId="0" xfId="0"/>
    <xf numFmtId="0" fontId="0" fillId="7" borderId="0" xfId="0" applyFill="1"/>
    <xf numFmtId="0" fontId="13" fillId="8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  <xf numFmtId="1" fontId="13" fillId="8" borderId="13" xfId="0" applyNumberFormat="1" applyFont="1" applyFill="1" applyBorder="1" applyAlignment="1">
      <alignment horizontal="center" vertical="center" wrapText="1"/>
    </xf>
    <xf numFmtId="8" fontId="0" fillId="7" borderId="0" xfId="0" applyNumberFormat="1" applyFill="1"/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7" borderId="0" xfId="0" applyNumberFormat="1" applyFill="1"/>
    <xf numFmtId="0" fontId="0" fillId="7" borderId="0" xfId="0" applyFill="1" applyAlignment="1">
      <alignment horizontal="center" vertical="center"/>
    </xf>
    <xf numFmtId="166" fontId="14" fillId="8" borderId="5" xfId="0" applyNumberFormat="1" applyFont="1" applyFill="1" applyBorder="1" applyAlignment="1">
      <alignment horizontal="center" vertical="center" wrapText="1"/>
    </xf>
    <xf numFmtId="167" fontId="0" fillId="7" borderId="0" xfId="0" applyNumberFormat="1" applyFill="1"/>
    <xf numFmtId="166" fontId="0" fillId="7" borderId="0" xfId="0" applyNumberFormat="1" applyFill="1"/>
    <xf numFmtId="0" fontId="0" fillId="0" borderId="30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4" borderId="0" xfId="0" applyFont="1" applyFill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4" fontId="5" fillId="0" borderId="1" xfId="2" applyFont="1" applyBorder="1" applyAlignment="1" applyProtection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5" fillId="0" borderId="1" xfId="2" applyFont="1" applyBorder="1" applyAlignment="1" applyProtection="1">
      <alignment vertical="center"/>
    </xf>
    <xf numFmtId="44" fontId="3" fillId="3" borderId="1" xfId="2" applyFont="1" applyFill="1" applyBorder="1" applyAlignment="1" applyProtection="1">
      <alignment vertical="center"/>
    </xf>
    <xf numFmtId="8" fontId="3" fillId="3" borderId="1" xfId="0" applyNumberFormat="1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left" vertical="center"/>
    </xf>
    <xf numFmtId="8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left" vertical="center"/>
    </xf>
    <xf numFmtId="10" fontId="5" fillId="2" borderId="1" xfId="3" applyNumberFormat="1" applyFont="1" applyFill="1" applyBorder="1" applyAlignment="1" applyProtection="1">
      <alignment horizontal="center" vertical="center"/>
    </xf>
    <xf numFmtId="8" fontId="5" fillId="0" borderId="1" xfId="0" applyNumberFormat="1" applyFont="1" applyBorder="1" applyAlignment="1">
      <alignment horizontal="right" vertical="center"/>
    </xf>
    <xf numFmtId="10" fontId="3" fillId="3" borderId="1" xfId="3" applyNumberFormat="1" applyFont="1" applyFill="1" applyBorder="1" applyAlignment="1" applyProtection="1">
      <alignment horizontal="center" vertical="center"/>
    </xf>
    <xf numFmtId="44" fontId="3" fillId="3" borderId="1" xfId="2" applyFont="1" applyFill="1" applyBorder="1" applyAlignment="1" applyProtection="1">
      <alignment horizontal="right" vertical="center"/>
    </xf>
    <xf numFmtId="8" fontId="3" fillId="3" borderId="4" xfId="0" applyNumberFormat="1" applyFont="1" applyFill="1" applyBorder="1" applyAlignment="1">
      <alignment horizontal="left" vertical="center"/>
    </xf>
    <xf numFmtId="8" fontId="3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0" fontId="7" fillId="2" borderId="6" xfId="5" applyNumberFormat="1" applyFont="1" applyFill="1" applyBorder="1" applyAlignment="1">
      <alignment horizontal="center" vertical="center"/>
    </xf>
    <xf numFmtId="10" fontId="3" fillId="3" borderId="2" xfId="3" applyNumberFormat="1" applyFont="1" applyFill="1" applyBorder="1" applyAlignment="1" applyProtection="1">
      <alignment horizontal="center" vertical="center"/>
    </xf>
    <xf numFmtId="44" fontId="3" fillId="3" borderId="1" xfId="2" applyFont="1" applyFill="1" applyBorder="1" applyAlignment="1" applyProtection="1">
      <alignment horizontal="center" vertical="center"/>
    </xf>
    <xf numFmtId="44" fontId="5" fillId="2" borderId="2" xfId="2" applyFont="1" applyFill="1" applyBorder="1" applyAlignment="1" applyProtection="1">
      <alignment horizontal="center" vertical="center"/>
    </xf>
    <xf numFmtId="44" fontId="4" fillId="0" borderId="1" xfId="2" applyFont="1" applyBorder="1" applyAlignment="1" applyProtection="1">
      <alignment horizontal="right" vertical="center"/>
    </xf>
    <xf numFmtId="10" fontId="5" fillId="0" borderId="2" xfId="3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right" vertical="center"/>
    </xf>
    <xf numFmtId="9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4" fontId="5" fillId="2" borderId="1" xfId="2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4" fontId="5" fillId="0" borderId="2" xfId="3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10" fontId="5" fillId="0" borderId="1" xfId="3" applyNumberFormat="1" applyFont="1" applyBorder="1" applyAlignment="1" applyProtection="1">
      <alignment horizontal="center" vertical="center"/>
    </xf>
    <xf numFmtId="44" fontId="5" fillId="11" borderId="1" xfId="0" applyNumberFormat="1" applyFont="1" applyFill="1" applyBorder="1" applyAlignment="1">
      <alignment horizontal="right" vertical="center"/>
    </xf>
    <xf numFmtId="8" fontId="3" fillId="3" borderId="1" xfId="2" applyNumberFormat="1" applyFont="1" applyFill="1" applyBorder="1" applyAlignment="1" applyProtection="1">
      <alignment horizontal="right" vertical="center"/>
    </xf>
    <xf numFmtId="10" fontId="5" fillId="2" borderId="2" xfId="3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/>
    <xf numFmtId="8" fontId="5" fillId="0" borderId="3" xfId="0" applyNumberFormat="1" applyFont="1" applyBorder="1" applyAlignment="1">
      <alignment horizontal="right" vertical="center"/>
    </xf>
    <xf numFmtId="44" fontId="7" fillId="2" borderId="1" xfId="2" applyFont="1" applyFill="1" applyBorder="1" applyAlignment="1" applyProtection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17" fillId="4" borderId="0" xfId="0" applyFont="1" applyFill="1"/>
    <xf numFmtId="44" fontId="5" fillId="10" borderId="2" xfId="2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left" vertical="justify"/>
      <protection locked="0"/>
    </xf>
    <xf numFmtId="9" fontId="4" fillId="10" borderId="1" xfId="3" applyFont="1" applyFill="1" applyBorder="1" applyAlignment="1" applyProtection="1">
      <alignment horizontal="center" vertical="justify"/>
      <protection locked="0"/>
    </xf>
    <xf numFmtId="44" fontId="5" fillId="10" borderId="1" xfId="2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166" fontId="14" fillId="2" borderId="16" xfId="0" applyNumberFormat="1" applyFont="1" applyFill="1" applyBorder="1" applyAlignment="1">
      <alignment horizontal="center" vertical="center" wrapText="1"/>
    </xf>
    <xf numFmtId="44" fontId="5" fillId="0" borderId="1" xfId="2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44" fontId="0" fillId="10" borderId="1" xfId="0" applyNumberFormat="1" applyFill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4" fontId="0" fillId="0" borderId="48" xfId="0" applyNumberFormat="1" applyBorder="1" applyAlignment="1">
      <alignment vertical="center" wrapText="1"/>
    </xf>
    <xf numFmtId="44" fontId="0" fillId="0" borderId="42" xfId="0" applyNumberFormat="1" applyBorder="1" applyAlignment="1">
      <alignment vertical="center" wrapText="1"/>
    </xf>
    <xf numFmtId="44" fontId="0" fillId="0" borderId="49" xfId="0" applyNumberForma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4" fontId="0" fillId="6" borderId="45" xfId="0" applyNumberFormat="1" applyFill="1" applyBorder="1" applyAlignment="1">
      <alignment vertical="center" wrapText="1"/>
    </xf>
    <xf numFmtId="169" fontId="5" fillId="0" borderId="1" xfId="2" applyNumberFormat="1" applyFont="1" applyBorder="1" applyAlignment="1" applyProtection="1">
      <alignment horizontal="right" vertical="center"/>
    </xf>
    <xf numFmtId="169" fontId="5" fillId="11" borderId="1" xfId="0" applyNumberFormat="1" applyFont="1" applyFill="1" applyBorder="1" applyAlignment="1">
      <alignment horizontal="right" vertical="center"/>
    </xf>
    <xf numFmtId="44" fontId="3" fillId="6" borderId="1" xfId="2" applyFont="1" applyFill="1" applyBorder="1" applyAlignment="1" applyProtection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6" fontId="18" fillId="10" borderId="1" xfId="0" applyNumberFormat="1" applyFont="1" applyFill="1" applyBorder="1" applyAlignment="1">
      <alignment vertical="center" wrapText="1"/>
    </xf>
    <xf numFmtId="166" fontId="0" fillId="10" borderId="1" xfId="0" applyNumberFormat="1" applyFill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8" fillId="0" borderId="42" xfId="0" applyNumberFormat="1" applyFont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169" fontId="5" fillId="7" borderId="1" xfId="0" applyNumberFormat="1" applyFont="1" applyFill="1" applyBorder="1" applyAlignment="1">
      <alignment horizontal="right" vertical="center"/>
    </xf>
    <xf numFmtId="44" fontId="4" fillId="4" borderId="0" xfId="0" applyNumberFormat="1" applyFont="1" applyFill="1"/>
    <xf numFmtId="0" fontId="18" fillId="0" borderId="5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166" fontId="18" fillId="10" borderId="52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166" fontId="18" fillId="0" borderId="52" xfId="0" applyNumberFormat="1" applyFont="1" applyBorder="1" applyAlignment="1">
      <alignment horizontal="center" vertical="center" wrapText="1"/>
    </xf>
    <xf numFmtId="166" fontId="18" fillId="0" borderId="53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6" fontId="15" fillId="10" borderId="1" xfId="0" applyNumberFormat="1" applyFont="1" applyFill="1" applyBorder="1" applyAlignment="1">
      <alignment vertical="center" wrapText="1"/>
    </xf>
    <xf numFmtId="8" fontId="0" fillId="10" borderId="38" xfId="0" applyNumberFormat="1" applyFill="1" applyBorder="1" applyAlignment="1" applyProtection="1">
      <alignment horizontal="center" vertical="center" wrapText="1"/>
      <protection locked="0"/>
    </xf>
    <xf numFmtId="8" fontId="0" fillId="0" borderId="27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" fontId="14" fillId="1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3" fillId="12" borderId="2" xfId="2" applyFont="1" applyFill="1" applyBorder="1" applyAlignment="1" applyProtection="1">
      <alignment horizontal="right" vertical="center"/>
    </xf>
    <xf numFmtId="10" fontId="7" fillId="10" borderId="6" xfId="3" applyNumberFormat="1" applyFont="1" applyFill="1" applyBorder="1" applyAlignment="1" applyProtection="1">
      <alignment horizontal="center" vertical="center"/>
      <protection locked="0"/>
    </xf>
    <xf numFmtId="10" fontId="5" fillId="10" borderId="1" xfId="3" applyNumberFormat="1" applyFont="1" applyFill="1" applyBorder="1" applyAlignment="1" applyProtection="1">
      <alignment horizontal="center" vertical="center"/>
      <protection locked="0"/>
    </xf>
    <xf numFmtId="10" fontId="3" fillId="10" borderId="1" xfId="3" applyNumberFormat="1" applyFont="1" applyFill="1" applyBorder="1" applyAlignment="1" applyProtection="1">
      <alignment horizontal="center" vertical="center"/>
      <protection locked="0"/>
    </xf>
    <xf numFmtId="10" fontId="5" fillId="10" borderId="1" xfId="0" applyNumberFormat="1" applyFont="1" applyFill="1" applyBorder="1" applyAlignment="1" applyProtection="1">
      <alignment horizontal="center" vertical="center"/>
      <protection locked="0"/>
    </xf>
    <xf numFmtId="10" fontId="5" fillId="10" borderId="2" xfId="3" applyNumberFormat="1" applyFont="1" applyFill="1" applyBorder="1" applyAlignment="1" applyProtection="1">
      <alignment horizontal="center" vertical="center"/>
      <protection locked="0"/>
    </xf>
    <xf numFmtId="170" fontId="4" fillId="0" borderId="1" xfId="0" applyNumberFormat="1" applyFont="1" applyBorder="1" applyAlignment="1">
      <alignment horizontal="center" vertical="center"/>
    </xf>
    <xf numFmtId="10" fontId="5" fillId="10" borderId="2" xfId="2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/>
    <xf numFmtId="10" fontId="5" fillId="7" borderId="1" xfId="0" applyNumberFormat="1" applyFont="1" applyFill="1" applyBorder="1" applyAlignment="1">
      <alignment horizontal="center" vertical="center"/>
    </xf>
    <xf numFmtId="44" fontId="4" fillId="10" borderId="1" xfId="2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 vertical="justify"/>
      <protection locked="0"/>
    </xf>
    <xf numFmtId="14" fontId="7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vertical="center" wrapText="1"/>
      <protection locked="0"/>
    </xf>
    <xf numFmtId="44" fontId="4" fillId="10" borderId="1" xfId="2" applyFont="1" applyFill="1" applyBorder="1" applyAlignment="1" applyProtection="1">
      <alignment horizontal="right" vertical="center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44" fontId="5" fillId="10" borderId="1" xfId="2" applyFont="1" applyFill="1" applyBorder="1" applyAlignment="1" applyProtection="1">
      <alignment horizontal="right" vertical="center"/>
      <protection locked="0"/>
    </xf>
    <xf numFmtId="10" fontId="5" fillId="2" borderId="2" xfId="3" applyNumberFormat="1" applyFont="1" applyFill="1" applyBorder="1" applyAlignment="1" applyProtection="1">
      <alignment horizontal="center" vertical="center"/>
      <protection locked="0"/>
    </xf>
    <xf numFmtId="44" fontId="0" fillId="6" borderId="15" xfId="2" applyFont="1" applyFill="1" applyBorder="1" applyAlignment="1" applyProtection="1">
      <alignment horizontal="center" vertical="center" wrapText="1"/>
    </xf>
    <xf numFmtId="44" fontId="0" fillId="6" borderId="39" xfId="2" applyFont="1" applyFill="1" applyBorder="1" applyAlignment="1">
      <alignment horizontal="center" vertical="center" wrapText="1"/>
    </xf>
    <xf numFmtId="1" fontId="0" fillId="0" borderId="15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4" fillId="0" borderId="60" xfId="0" applyFont="1" applyBorder="1" applyAlignment="1">
      <alignment horizontal="center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43" fontId="24" fillId="16" borderId="55" xfId="1" applyFont="1" applyFill="1" applyBorder="1" applyAlignment="1" applyProtection="1">
      <alignment horizontal="right"/>
      <protection locked="0"/>
    </xf>
    <xf numFmtId="0" fontId="23" fillId="0" borderId="55" xfId="0" applyFont="1" applyBorder="1" applyAlignment="1">
      <alignment horizontal="center"/>
    </xf>
    <xf numFmtId="43" fontId="24" fillId="0" borderId="55" xfId="1" applyFont="1" applyFill="1" applyBorder="1" applyAlignment="1">
      <alignment horizontal="right" vertical="center"/>
    </xf>
    <xf numFmtId="43" fontId="24" fillId="0" borderId="0" xfId="1" applyFont="1" applyBorder="1" applyAlignment="1">
      <alignment horizontal="right" vertical="center"/>
    </xf>
    <xf numFmtId="0" fontId="24" fillId="0" borderId="62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center" vertical="center"/>
    </xf>
    <xf numFmtId="43" fontId="24" fillId="16" borderId="62" xfId="1" applyFont="1" applyFill="1" applyBorder="1" applyAlignment="1" applyProtection="1">
      <alignment horizontal="right"/>
      <protection locked="0"/>
    </xf>
    <xf numFmtId="0" fontId="23" fillId="0" borderId="62" xfId="0" applyFont="1" applyBorder="1" applyAlignment="1">
      <alignment horizontal="center"/>
    </xf>
    <xf numFmtId="43" fontId="24" fillId="0" borderId="62" xfId="1" applyFont="1" applyFill="1" applyBorder="1" applyAlignment="1">
      <alignment horizontal="right" vertical="center"/>
    </xf>
    <xf numFmtId="0" fontId="24" fillId="0" borderId="62" xfId="0" applyFont="1" applyBorder="1" applyAlignment="1">
      <alignment vertical="center" wrapText="1"/>
    </xf>
    <xf numFmtId="43" fontId="25" fillId="0" borderId="0" xfId="1" applyFont="1" applyBorder="1" applyAlignment="1">
      <alignment vertical="center"/>
    </xf>
    <xf numFmtId="14" fontId="0" fillId="0" borderId="62" xfId="0" applyNumberFormat="1" applyBorder="1" applyAlignment="1">
      <alignment vertical="center" wrapText="1"/>
    </xf>
    <xf numFmtId="0" fontId="15" fillId="0" borderId="62" xfId="0" applyFont="1" applyBorder="1" applyAlignment="1">
      <alignment vertical="top" wrapText="1"/>
    </xf>
    <xf numFmtId="4" fontId="15" fillId="16" borderId="62" xfId="0" applyNumberFormat="1" applyFont="1" applyFill="1" applyBorder="1" applyAlignment="1" applyProtection="1">
      <alignment horizontal="right" wrapText="1"/>
      <protection locked="0"/>
    </xf>
    <xf numFmtId="0" fontId="26" fillId="0" borderId="62" xfId="0" applyFont="1" applyBorder="1" applyAlignment="1">
      <alignment horizontal="center" wrapText="1"/>
    </xf>
    <xf numFmtId="0" fontId="0" fillId="0" borderId="62" xfId="0" applyBorder="1"/>
    <xf numFmtId="0" fontId="24" fillId="0" borderId="57" xfId="0" applyFont="1" applyBorder="1" applyAlignment="1">
      <alignment vertical="center" wrapText="1"/>
    </xf>
    <xf numFmtId="0" fontId="24" fillId="0" borderId="50" xfId="0" applyFont="1" applyBorder="1" applyAlignment="1">
      <alignment horizontal="center" vertical="center"/>
    </xf>
    <xf numFmtId="43" fontId="24" fillId="16" borderId="57" xfId="1" applyFont="1" applyFill="1" applyBorder="1" applyAlignment="1" applyProtection="1">
      <alignment horizontal="right"/>
      <protection locked="0"/>
    </xf>
    <xf numFmtId="0" fontId="23" fillId="0" borderId="57" xfId="0" applyFont="1" applyBorder="1" applyAlignment="1">
      <alignment horizontal="center"/>
    </xf>
    <xf numFmtId="43" fontId="24" fillId="0" borderId="57" xfId="1" applyFont="1" applyBorder="1" applyAlignment="1">
      <alignment horizontal="right" vertical="center"/>
    </xf>
    <xf numFmtId="0" fontId="23" fillId="3" borderId="54" xfId="0" applyFont="1" applyFill="1" applyBorder="1" applyAlignment="1">
      <alignment horizontal="center"/>
    </xf>
    <xf numFmtId="43" fontId="23" fillId="3" borderId="45" xfId="1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center"/>
    </xf>
    <xf numFmtId="43" fontId="23" fillId="3" borderId="5" xfId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43" fontId="25" fillId="0" borderId="0" xfId="1" applyFont="1" applyBorder="1" applyAlignment="1">
      <alignment horizontal="right"/>
    </xf>
    <xf numFmtId="0" fontId="27" fillId="0" borderId="0" xfId="0" applyFont="1" applyAlignment="1">
      <alignment horizontal="center"/>
    </xf>
    <xf numFmtId="43" fontId="25" fillId="0" borderId="0" xfId="1" applyFont="1" applyAlignment="1">
      <alignment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43" fontId="24" fillId="16" borderId="44" xfId="1" applyFont="1" applyFill="1" applyBorder="1" applyAlignment="1" applyProtection="1">
      <alignment horizontal="right" wrapText="1"/>
      <protection locked="0"/>
    </xf>
    <xf numFmtId="0" fontId="23" fillId="0" borderId="44" xfId="0" applyFont="1" applyBorder="1" applyAlignment="1">
      <alignment horizontal="center" wrapText="1"/>
    </xf>
    <xf numFmtId="43" fontId="24" fillId="0" borderId="46" xfId="1" applyFont="1" applyFill="1" applyBorder="1" applyAlignment="1">
      <alignment horizontal="right" vertical="center"/>
    </xf>
    <xf numFmtId="0" fontId="24" fillId="0" borderId="4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" fontId="15" fillId="16" borderId="1" xfId="0" applyNumberFormat="1" applyFont="1" applyFill="1" applyBorder="1" applyAlignment="1" applyProtection="1">
      <alignment horizontal="right" wrapText="1"/>
      <protection locked="0"/>
    </xf>
    <xf numFmtId="0" fontId="26" fillId="0" borderId="1" xfId="0" applyFont="1" applyBorder="1" applyAlignment="1">
      <alignment horizontal="center" wrapText="1"/>
    </xf>
    <xf numFmtId="43" fontId="24" fillId="0" borderId="42" xfId="1" applyFont="1" applyFill="1" applyBorder="1" applyAlignment="1">
      <alignment horizontal="right" vertical="center"/>
    </xf>
    <xf numFmtId="43" fontId="24" fillId="11" borderId="0" xfId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/>
    </xf>
    <xf numFmtId="43" fontId="24" fillId="16" borderId="1" xfId="1" applyFont="1" applyFill="1" applyBorder="1" applyAlignment="1" applyProtection="1">
      <alignment horizontal="right"/>
      <protection locked="0"/>
    </xf>
    <xf numFmtId="0" fontId="23" fillId="0" borderId="1" xfId="0" applyFont="1" applyBorder="1" applyAlignment="1">
      <alignment horizontal="center"/>
    </xf>
    <xf numFmtId="43" fontId="24" fillId="0" borderId="0" xfId="1" applyFont="1" applyBorder="1" applyAlignment="1">
      <alignment horizontal="right" vertical="center" wrapText="1"/>
    </xf>
    <xf numFmtId="0" fontId="0" fillId="0" borderId="1" xfId="0" applyBorder="1"/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25" fillId="11" borderId="0" xfId="1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23" fillId="3" borderId="45" xfId="0" applyFont="1" applyFill="1" applyBorder="1" applyAlignment="1">
      <alignment horizontal="center"/>
    </xf>
    <xf numFmtId="43" fontId="23" fillId="3" borderId="45" xfId="1" applyFont="1" applyFill="1" applyBorder="1" applyAlignment="1">
      <alignment horizontal="right" vertical="center" wrapText="1"/>
    </xf>
    <xf numFmtId="43" fontId="23" fillId="3" borderId="5" xfId="1" applyFont="1" applyFill="1" applyBorder="1" applyAlignment="1">
      <alignment horizontal="right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/>
    </xf>
    <xf numFmtId="43" fontId="28" fillId="3" borderId="5" xfId="1" applyFont="1" applyFill="1" applyBorder="1" applyAlignment="1">
      <alignment horizontal="right" vertical="center"/>
    </xf>
    <xf numFmtId="0" fontId="28" fillId="3" borderId="0" xfId="0" applyFont="1" applyFill="1" applyAlignment="1">
      <alignment horizontal="center" vertical="center"/>
    </xf>
    <xf numFmtId="0" fontId="28" fillId="3" borderId="16" xfId="0" applyFont="1" applyFill="1" applyBorder="1" applyAlignment="1">
      <alignment horizontal="center"/>
    </xf>
    <xf numFmtId="43" fontId="28" fillId="3" borderId="16" xfId="1" applyFont="1" applyFill="1" applyBorder="1" applyAlignment="1">
      <alignment horizontal="right" vertical="center"/>
    </xf>
    <xf numFmtId="0" fontId="28" fillId="3" borderId="45" xfId="0" applyFont="1" applyFill="1" applyBorder="1" applyAlignment="1">
      <alignment horizontal="center"/>
    </xf>
    <xf numFmtId="43" fontId="28" fillId="3" borderId="45" xfId="1" applyFont="1" applyFill="1" applyBorder="1" applyAlignment="1">
      <alignment horizontal="right" vertical="center"/>
    </xf>
    <xf numFmtId="0" fontId="28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1" applyFont="1" applyAlignment="1">
      <alignment vertical="center"/>
    </xf>
    <xf numFmtId="0" fontId="0" fillId="2" borderId="0" xfId="0" applyFill="1"/>
    <xf numFmtId="0" fontId="29" fillId="0" borderId="5" xfId="8" applyFont="1" applyBorder="1" applyAlignment="1">
      <alignment horizontal="center" vertical="center"/>
    </xf>
    <xf numFmtId="4" fontId="29" fillId="0" borderId="5" xfId="8" applyNumberFormat="1" applyFont="1" applyBorder="1" applyAlignment="1">
      <alignment horizontal="center" vertical="center"/>
    </xf>
    <xf numFmtId="0" fontId="29" fillId="0" borderId="55" xfId="8" applyFont="1" applyBorder="1" applyAlignment="1">
      <alignment horizontal="center" vertical="center"/>
    </xf>
    <xf numFmtId="0" fontId="30" fillId="0" borderId="55" xfId="8" applyFont="1" applyBorder="1" applyAlignment="1">
      <alignment vertical="center"/>
    </xf>
    <xf numFmtId="10" fontId="30" fillId="16" borderId="55" xfId="8" applyNumberFormat="1" applyFont="1" applyFill="1" applyBorder="1" applyAlignment="1" applyProtection="1">
      <alignment horizontal="center" vertical="center"/>
      <protection locked="0"/>
    </xf>
    <xf numFmtId="0" fontId="29" fillId="0" borderId="62" xfId="8" applyFont="1" applyBorder="1" applyAlignment="1">
      <alignment horizontal="center" vertical="center"/>
    </xf>
    <xf numFmtId="0" fontId="30" fillId="0" borderId="62" xfId="8" applyFont="1" applyBorder="1" applyAlignment="1">
      <alignment vertical="center"/>
    </xf>
    <xf numFmtId="10" fontId="30" fillId="0" borderId="62" xfId="8" applyNumberFormat="1" applyFont="1" applyBorder="1" applyAlignment="1">
      <alignment horizontal="center" vertical="center"/>
    </xf>
    <xf numFmtId="10" fontId="30" fillId="16" borderId="62" xfId="8" applyNumberFormat="1" applyFont="1" applyFill="1" applyBorder="1" applyAlignment="1" applyProtection="1">
      <alignment horizontal="center" vertical="center"/>
      <protection locked="0"/>
    </xf>
    <xf numFmtId="0" fontId="29" fillId="0" borderId="57" xfId="8" applyFont="1" applyBorder="1" applyAlignment="1">
      <alignment horizontal="center" vertical="center"/>
    </xf>
    <xf numFmtId="0" fontId="30" fillId="0" borderId="57" xfId="8" applyFont="1" applyBorder="1" applyAlignment="1">
      <alignment vertical="center"/>
    </xf>
    <xf numFmtId="10" fontId="30" fillId="16" borderId="57" xfId="8" applyNumberFormat="1" applyFont="1" applyFill="1" applyBorder="1" applyAlignment="1" applyProtection="1">
      <alignment horizontal="center" vertical="center"/>
      <protection locked="0"/>
    </xf>
    <xf numFmtId="10" fontId="29" fillId="0" borderId="5" xfId="8" applyNumberFormat="1" applyFont="1" applyBorder="1" applyAlignment="1">
      <alignment horizontal="center" vertical="center"/>
    </xf>
    <xf numFmtId="0" fontId="30" fillId="0" borderId="55" xfId="8" applyFont="1" applyBorder="1" applyAlignment="1">
      <alignment horizontal="center" vertical="center"/>
    </xf>
    <xf numFmtId="10" fontId="30" fillId="16" borderId="55" xfId="9" applyNumberFormat="1" applyFont="1" applyFill="1" applyBorder="1" applyAlignment="1" applyProtection="1">
      <alignment horizontal="center" vertical="center"/>
      <protection locked="0"/>
    </xf>
    <xf numFmtId="0" fontId="30" fillId="0" borderId="57" xfId="8" applyFont="1" applyBorder="1" applyAlignment="1">
      <alignment horizontal="center" vertical="center"/>
    </xf>
    <xf numFmtId="10" fontId="30" fillId="16" borderId="58" xfId="8" applyNumberFormat="1" applyFont="1" applyFill="1" applyBorder="1" applyAlignment="1" applyProtection="1">
      <alignment horizontal="center" vertical="center"/>
      <protection locked="0"/>
    </xf>
    <xf numFmtId="10" fontId="30" fillId="0" borderId="5" xfId="9" applyNumberFormat="1" applyFont="1" applyFill="1" applyBorder="1" applyAlignment="1">
      <alignment horizontal="center" vertical="center"/>
    </xf>
    <xf numFmtId="0" fontId="30" fillId="0" borderId="62" xfId="8" applyFont="1" applyBorder="1" applyAlignment="1">
      <alignment horizontal="center" vertical="center"/>
    </xf>
    <xf numFmtId="10" fontId="30" fillId="0" borderId="5" xfId="8" applyNumberFormat="1" applyFont="1" applyBorder="1" applyAlignment="1">
      <alignment horizontal="center" vertical="center"/>
    </xf>
    <xf numFmtId="0" fontId="30" fillId="2" borderId="66" xfId="8" applyFont="1" applyFill="1" applyBorder="1" applyAlignment="1">
      <alignment vertical="center"/>
    </xf>
    <xf numFmtId="4" fontId="30" fillId="2" borderId="66" xfId="8" applyNumberFormat="1" applyFont="1" applyFill="1" applyBorder="1" applyAlignment="1">
      <alignment vertical="center"/>
    </xf>
    <xf numFmtId="0" fontId="30" fillId="2" borderId="0" xfId="8" applyFont="1" applyFill="1" applyAlignment="1">
      <alignment vertical="center"/>
    </xf>
    <xf numFmtId="4" fontId="30" fillId="2" borderId="0" xfId="8" applyNumberFormat="1" applyFont="1" applyFill="1" applyAlignment="1">
      <alignment vertical="center"/>
    </xf>
    <xf numFmtId="0" fontId="30" fillId="2" borderId="0" xfId="8" applyFont="1" applyFill="1"/>
    <xf numFmtId="4" fontId="30" fillId="2" borderId="0" xfId="8" applyNumberFormat="1" applyFont="1" applyFill="1"/>
    <xf numFmtId="4" fontId="29" fillId="0" borderId="55" xfId="8" applyNumberFormat="1" applyFont="1" applyBorder="1" applyAlignment="1">
      <alignment horizontal="center" vertical="center"/>
    </xf>
    <xf numFmtId="10" fontId="30" fillId="0" borderId="58" xfId="8" applyNumberFormat="1" applyFont="1" applyBorder="1" applyAlignment="1">
      <alignment horizontal="center" vertical="center"/>
    </xf>
    <xf numFmtId="10" fontId="30" fillId="16" borderId="5" xfId="8" applyNumberFormat="1" applyFont="1" applyFill="1" applyBorder="1" applyAlignment="1" applyProtection="1">
      <alignment horizontal="center" vertical="center"/>
      <protection locked="0"/>
    </xf>
    <xf numFmtId="0" fontId="34" fillId="18" borderId="1" xfId="10" applyFont="1" applyFill="1" applyBorder="1" applyAlignment="1">
      <alignment horizontal="center" vertical="center" wrapText="1"/>
    </xf>
    <xf numFmtId="171" fontId="34" fillId="18" borderId="1" xfId="11" applyFont="1" applyFill="1" applyBorder="1" applyAlignment="1" applyProtection="1">
      <alignment horizontal="center" vertical="center"/>
    </xf>
    <xf numFmtId="171" fontId="34" fillId="18" borderId="1" xfId="11" applyFont="1" applyFill="1" applyBorder="1" applyAlignment="1" applyProtection="1">
      <alignment horizontal="center" vertical="center" wrapText="1"/>
    </xf>
    <xf numFmtId="0" fontId="2" fillId="0" borderId="1" xfId="4" applyBorder="1" applyAlignment="1">
      <alignment horizontal="justify" vertical="center"/>
    </xf>
    <xf numFmtId="0" fontId="2" fillId="19" borderId="1" xfId="10" applyFill="1" applyBorder="1" applyAlignment="1">
      <alignment horizontal="center" vertical="center"/>
    </xf>
    <xf numFmtId="172" fontId="2" fillId="20" borderId="1" xfId="10" applyNumberFormat="1" applyFill="1" applyBorder="1" applyAlignment="1" applyProtection="1">
      <alignment horizontal="center" vertical="center"/>
      <protection locked="0"/>
    </xf>
    <xf numFmtId="2" fontId="2" fillId="19" borderId="1" xfId="10" applyNumberFormat="1" applyFill="1" applyBorder="1" applyAlignment="1">
      <alignment horizontal="center" vertical="center"/>
    </xf>
    <xf numFmtId="172" fontId="2" fillId="19" borderId="1" xfId="10" applyNumberFormat="1" applyFill="1" applyBorder="1" applyAlignment="1">
      <alignment horizontal="center" vertical="center"/>
    </xf>
    <xf numFmtId="172" fontId="2" fillId="22" borderId="1" xfId="12" applyNumberFormat="1" applyFont="1" applyFill="1" applyBorder="1" applyAlignment="1" applyProtection="1">
      <alignment horizontal="center"/>
    </xf>
    <xf numFmtId="10" fontId="2" fillId="14" borderId="1" xfId="7" applyNumberFormat="1" applyFont="1" applyFill="1" applyBorder="1"/>
    <xf numFmtId="44" fontId="2" fillId="14" borderId="1" xfId="2" applyFont="1" applyFill="1" applyBorder="1"/>
    <xf numFmtId="0" fontId="0" fillId="2" borderId="0" xfId="0" applyFill="1" applyAlignment="1">
      <alignment vertical="center"/>
    </xf>
    <xf numFmtId="0" fontId="28" fillId="2" borderId="0" xfId="0" applyFont="1" applyFill="1"/>
    <xf numFmtId="0" fontId="0" fillId="2" borderId="0" xfId="0" applyFill="1" applyAlignment="1">
      <alignment horizontal="center" vertical="center"/>
    </xf>
    <xf numFmtId="43" fontId="0" fillId="2" borderId="0" xfId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43" fontId="0" fillId="2" borderId="0" xfId="1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43" fontId="25" fillId="2" borderId="0" xfId="1" applyFont="1" applyFill="1" applyBorder="1" applyAlignment="1">
      <alignment horizontal="right"/>
    </xf>
    <xf numFmtId="0" fontId="27" fillId="2" borderId="0" xfId="0" applyFont="1" applyFill="1" applyAlignment="1">
      <alignment horizontal="center"/>
    </xf>
    <xf numFmtId="43" fontId="25" fillId="2" borderId="0" xfId="1" applyFont="1" applyFill="1" applyAlignment="1">
      <alignment vertical="center"/>
    </xf>
    <xf numFmtId="43" fontId="25" fillId="2" borderId="0" xfId="1" applyFont="1" applyFill="1" applyAlignment="1">
      <alignment horizontal="right"/>
    </xf>
    <xf numFmtId="0" fontId="28" fillId="4" borderId="13" xfId="0" applyFont="1" applyFill="1" applyBorder="1" applyAlignment="1">
      <alignment horizontal="center" vertical="center"/>
    </xf>
    <xf numFmtId="10" fontId="28" fillId="4" borderId="15" xfId="0" applyNumberFormat="1" applyFont="1" applyFill="1" applyBorder="1"/>
    <xf numFmtId="44" fontId="2" fillId="0" borderId="1" xfId="2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9" fontId="8" fillId="10" borderId="2" xfId="2" applyNumberFormat="1" applyFont="1" applyFill="1" applyBorder="1" applyAlignment="1" applyProtection="1">
      <alignment horizontal="center" vertical="center"/>
      <protection locked="0"/>
    </xf>
    <xf numFmtId="169" fontId="8" fillId="0" borderId="1" xfId="2" applyNumberFormat="1" applyFont="1" applyBorder="1" applyAlignment="1" applyProtection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0" fontId="0" fillId="16" borderId="1" xfId="0" applyNumberFormat="1" applyFill="1" applyBorder="1" applyProtection="1">
      <protection locked="0"/>
    </xf>
    <xf numFmtId="10" fontId="10" fillId="25" borderId="1" xfId="0" applyNumberFormat="1" applyFont="1" applyFill="1" applyBorder="1" applyAlignment="1">
      <alignment vertical="center" wrapText="1"/>
    </xf>
    <xf numFmtId="166" fontId="5" fillId="0" borderId="1" xfId="2" applyNumberFormat="1" applyFont="1" applyBorder="1" applyAlignment="1" applyProtection="1">
      <alignment horizontal="right" vertical="center"/>
    </xf>
    <xf numFmtId="44" fontId="0" fillId="0" borderId="1" xfId="2" applyFont="1" applyBorder="1"/>
    <xf numFmtId="44" fontId="10" fillId="25" borderId="2" xfId="2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44" fontId="0" fillId="26" borderId="1" xfId="0" applyNumberFormat="1" applyFill="1" applyBorder="1"/>
    <xf numFmtId="173" fontId="2" fillId="10" borderId="1" xfId="10" applyNumberFormat="1" applyFill="1" applyBorder="1" applyAlignment="1">
      <alignment horizontal="center" vertical="center"/>
    </xf>
    <xf numFmtId="44" fontId="2" fillId="26" borderId="1" xfId="2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4" fontId="0" fillId="3" borderId="0" xfId="0" applyNumberFormat="1" applyFill="1"/>
    <xf numFmtId="0" fontId="24" fillId="28" borderId="1" xfId="0" applyFont="1" applyFill="1" applyBorder="1" applyAlignment="1">
      <alignment horizontal="center" vertical="center" wrapText="1"/>
    </xf>
    <xf numFmtId="171" fontId="34" fillId="29" borderId="1" xfId="11" applyFont="1" applyFill="1" applyBorder="1" applyAlignment="1" applyProtection="1">
      <alignment horizontal="center" vertical="center" wrapText="1"/>
    </xf>
    <xf numFmtId="0" fontId="0" fillId="3" borderId="0" xfId="0" applyFill="1"/>
    <xf numFmtId="44" fontId="18" fillId="10" borderId="1" xfId="0" applyNumberFormat="1" applyFont="1" applyFill="1" applyBorder="1" applyAlignment="1">
      <alignment vertical="center" wrapText="1"/>
    </xf>
    <xf numFmtId="44" fontId="18" fillId="10" borderId="48" xfId="0" applyNumberFormat="1" applyFont="1" applyFill="1" applyBorder="1" applyAlignment="1">
      <alignment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166" fontId="24" fillId="10" borderId="1" xfId="0" applyNumberFormat="1" applyFont="1" applyFill="1" applyBorder="1" applyAlignment="1">
      <alignment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6" fontId="24" fillId="0" borderId="42" xfId="0" applyNumberFormat="1" applyFont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14" fillId="2" borderId="54" xfId="0" applyNumberFormat="1" applyFont="1" applyFill="1" applyBorder="1" applyAlignment="1">
      <alignment horizontal="center" vertical="center" wrapText="1"/>
    </xf>
    <xf numFmtId="1" fontId="14" fillId="2" borderId="45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8" fontId="3" fillId="0" borderId="12" xfId="0" applyNumberFormat="1" applyFont="1" applyBorder="1" applyAlignment="1">
      <alignment horizontal="left" vertical="center"/>
    </xf>
    <xf numFmtId="8" fontId="3" fillId="0" borderId="7" xfId="0" applyNumberFormat="1" applyFont="1" applyBorder="1" applyAlignment="1">
      <alignment horizontal="left" vertical="center"/>
    </xf>
    <xf numFmtId="8" fontId="3" fillId="0" borderId="11" xfId="0" applyNumberFormat="1" applyFont="1" applyBorder="1" applyAlignment="1">
      <alignment horizontal="left" vertical="center"/>
    </xf>
    <xf numFmtId="0" fontId="10" fillId="25" borderId="3" xfId="0" applyFont="1" applyFill="1" applyBorder="1" applyAlignment="1">
      <alignment horizontal="left" vertical="center" wrapText="1"/>
    </xf>
    <xf numFmtId="0" fontId="10" fillId="25" borderId="2" xfId="0" applyFont="1" applyFill="1" applyBorder="1" applyAlignment="1">
      <alignment horizontal="left" vertical="center" wrapText="1"/>
    </xf>
    <xf numFmtId="8" fontId="3" fillId="0" borderId="3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8" fontId="3" fillId="3" borderId="3" xfId="0" applyNumberFormat="1" applyFont="1" applyFill="1" applyBorder="1" applyAlignment="1">
      <alignment horizontal="left" vertical="center"/>
    </xf>
    <xf numFmtId="8" fontId="3" fillId="3" borderId="6" xfId="0" applyNumberFormat="1" applyFont="1" applyFill="1" applyBorder="1" applyAlignment="1">
      <alignment horizontal="left" vertical="center"/>
    </xf>
    <xf numFmtId="8" fontId="3" fillId="3" borderId="2" xfId="0" applyNumberFormat="1" applyFont="1" applyFill="1" applyBorder="1" applyAlignment="1">
      <alignment horizontal="left" vertical="center"/>
    </xf>
    <xf numFmtId="8" fontId="3" fillId="12" borderId="1" xfId="0" applyNumberFormat="1" applyFont="1" applyFill="1" applyBorder="1" applyAlignment="1">
      <alignment horizontal="left" vertical="center"/>
    </xf>
    <xf numFmtId="8" fontId="3" fillId="0" borderId="1" xfId="0" applyNumberFormat="1" applyFont="1" applyBorder="1" applyAlignment="1">
      <alignment horizontal="center" vertical="center"/>
    </xf>
    <xf numFmtId="8" fontId="3" fillId="5" borderId="1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10" borderId="3" xfId="0" applyFont="1" applyFill="1" applyBorder="1" applyAlignment="1" applyProtection="1">
      <alignment horizontal="left" vertical="justify"/>
      <protection locked="0"/>
    </xf>
    <xf numFmtId="0" fontId="4" fillId="10" borderId="2" xfId="0" applyFont="1" applyFill="1" applyBorder="1" applyAlignment="1" applyProtection="1">
      <alignment horizontal="left" vertical="justify"/>
      <protection locked="0"/>
    </xf>
    <xf numFmtId="8" fontId="3" fillId="0" borderId="3" xfId="0" applyNumberFormat="1" applyFont="1" applyBorder="1" applyAlignment="1">
      <alignment horizontal="left" vertical="center"/>
    </xf>
    <xf numFmtId="8" fontId="3" fillId="0" borderId="6" xfId="0" applyNumberFormat="1" applyFont="1" applyBorder="1" applyAlignment="1">
      <alignment horizontal="left" vertical="center"/>
    </xf>
    <xf numFmtId="8" fontId="3" fillId="0" borderId="2" xfId="0" applyNumberFormat="1" applyFont="1" applyBorder="1" applyAlignment="1">
      <alignment horizontal="left" vertical="center"/>
    </xf>
    <xf numFmtId="8" fontId="3" fillId="5" borderId="3" xfId="0" applyNumberFormat="1" applyFont="1" applyFill="1" applyBorder="1" applyAlignment="1">
      <alignment horizontal="left" vertical="center"/>
    </xf>
    <xf numFmtId="8" fontId="3" fillId="5" borderId="6" xfId="0" applyNumberFormat="1" applyFont="1" applyFill="1" applyBorder="1" applyAlignment="1">
      <alignment horizontal="left" vertical="center"/>
    </xf>
    <xf numFmtId="8" fontId="3" fillId="5" borderId="2" xfId="0" applyNumberFormat="1" applyFont="1" applyFill="1" applyBorder="1" applyAlignment="1">
      <alignment horizontal="left" vertical="center"/>
    </xf>
    <xf numFmtId="8" fontId="3" fillId="3" borderId="3" xfId="0" applyNumberFormat="1" applyFont="1" applyFill="1" applyBorder="1" applyAlignment="1">
      <alignment horizontal="center" vertical="center"/>
    </xf>
    <xf numFmtId="8" fontId="3" fillId="3" borderId="10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8" fontId="16" fillId="5" borderId="3" xfId="0" applyNumberFormat="1" applyFont="1" applyFill="1" applyBorder="1" applyAlignment="1">
      <alignment horizontal="left" vertical="center"/>
    </xf>
    <xf numFmtId="8" fontId="16" fillId="5" borderId="6" xfId="0" applyNumberFormat="1" applyFont="1" applyFill="1" applyBorder="1" applyAlignment="1">
      <alignment horizontal="left" vertical="center"/>
    </xf>
    <xf numFmtId="8" fontId="16" fillId="5" borderId="2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8" fillId="10" borderId="3" xfId="0" applyNumberFormat="1" applyFont="1" applyFill="1" applyBorder="1" applyAlignment="1" applyProtection="1">
      <alignment horizontal="center" vertical="center"/>
      <protection locked="0"/>
    </xf>
    <xf numFmtId="0" fontId="8" fillId="10" borderId="2" xfId="0" applyFont="1" applyFill="1" applyBorder="1" applyAlignment="1" applyProtection="1">
      <alignment horizontal="center" vertical="center"/>
      <protection locked="0"/>
    </xf>
    <xf numFmtId="0" fontId="5" fillId="10" borderId="9" xfId="0" applyFont="1" applyFill="1" applyBorder="1" applyAlignment="1" applyProtection="1">
      <alignment horizontal="center" vertical="center" wrapText="1"/>
      <protection locked="0"/>
    </xf>
    <xf numFmtId="0" fontId="5" fillId="10" borderId="10" xfId="0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6" fillId="14" borderId="1" xfId="6" applyFont="1" applyFill="1" applyBorder="1" applyAlignment="1">
      <alignment horizontal="right"/>
    </xf>
    <xf numFmtId="0" fontId="34" fillId="17" borderId="1" xfId="10" applyFont="1" applyFill="1" applyBorder="1" applyAlignment="1">
      <alignment horizontal="center" wrapText="1"/>
    </xf>
    <xf numFmtId="0" fontId="36" fillId="21" borderId="1" xfId="10" applyFont="1" applyFill="1" applyBorder="1" applyAlignment="1">
      <alignment horizontal="center" wrapText="1"/>
    </xf>
    <xf numFmtId="43" fontId="23" fillId="3" borderId="24" xfId="1" applyFont="1" applyFill="1" applyBorder="1" applyAlignment="1">
      <alignment horizontal="center" vertical="center" wrapText="1"/>
    </xf>
    <xf numFmtId="43" fontId="23" fillId="3" borderId="25" xfId="1" applyFont="1" applyFill="1" applyBorder="1" applyAlignment="1">
      <alignment horizontal="center" vertical="center" wrapText="1"/>
    </xf>
    <xf numFmtId="0" fontId="23" fillId="3" borderId="55" xfId="0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 wrapText="1"/>
    </xf>
    <xf numFmtId="0" fontId="23" fillId="3" borderId="55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43" fontId="23" fillId="3" borderId="56" xfId="1" applyFont="1" applyFill="1" applyBorder="1" applyAlignment="1">
      <alignment horizontal="center" wrapText="1"/>
    </xf>
    <xf numFmtId="43" fontId="23" fillId="3" borderId="59" xfId="1" applyFont="1" applyFill="1" applyBorder="1" applyAlignment="1">
      <alignment horizontal="center" wrapText="1"/>
    </xf>
    <xf numFmtId="0" fontId="23" fillId="3" borderId="55" xfId="0" applyFont="1" applyFill="1" applyBorder="1" applyAlignment="1">
      <alignment horizontal="center" wrapText="1"/>
    </xf>
    <xf numFmtId="0" fontId="23" fillId="3" borderId="58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left" vertical="center"/>
    </xf>
    <xf numFmtId="0" fontId="23" fillId="3" borderId="18" xfId="0" applyFont="1" applyFill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/>
    </xf>
    <xf numFmtId="43" fontId="23" fillId="3" borderId="55" xfId="1" applyFont="1" applyFill="1" applyBorder="1" applyAlignment="1">
      <alignment horizontal="right" wrapText="1"/>
    </xf>
    <xf numFmtId="43" fontId="23" fillId="3" borderId="58" xfId="1" applyFont="1" applyFill="1" applyBorder="1" applyAlignment="1">
      <alignment horizontal="right" wrapText="1"/>
    </xf>
    <xf numFmtId="43" fontId="23" fillId="3" borderId="16" xfId="1" applyFont="1" applyFill="1" applyBorder="1" applyAlignment="1">
      <alignment horizontal="center" vertical="center" wrapText="1"/>
    </xf>
    <xf numFmtId="43" fontId="23" fillId="3" borderId="54" xfId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6" fillId="23" borderId="3" xfId="10" applyFont="1" applyFill="1" applyBorder="1" applyAlignment="1">
      <alignment horizontal="center" wrapText="1"/>
    </xf>
    <xf numFmtId="0" fontId="36" fillId="23" borderId="2" xfId="10" applyFont="1" applyFill="1" applyBorder="1" applyAlignment="1">
      <alignment horizontal="center" wrapText="1"/>
    </xf>
    <xf numFmtId="0" fontId="36" fillId="23" borderId="6" xfId="10" applyFont="1" applyFill="1" applyBorder="1" applyAlignment="1">
      <alignment horizontal="center" wrapText="1"/>
    </xf>
    <xf numFmtId="171" fontId="34" fillId="29" borderId="1" xfId="11" applyFont="1" applyFill="1" applyBorder="1" applyAlignment="1" applyProtection="1">
      <alignment horizontal="center" vertical="center" wrapText="1"/>
    </xf>
    <xf numFmtId="171" fontId="34" fillId="18" borderId="12" xfId="11" applyFont="1" applyFill="1" applyBorder="1" applyAlignment="1" applyProtection="1">
      <alignment horizontal="center" vertical="center" wrapText="1"/>
    </xf>
    <xf numFmtId="171" fontId="34" fillId="18" borderId="7" xfId="11" applyFont="1" applyFill="1" applyBorder="1" applyAlignment="1" applyProtection="1">
      <alignment horizontal="center" vertical="center" wrapText="1"/>
    </xf>
    <xf numFmtId="171" fontId="34" fillId="18" borderId="11" xfId="11" applyFont="1" applyFill="1" applyBorder="1" applyAlignment="1" applyProtection="1">
      <alignment horizontal="center" vertical="center" wrapText="1"/>
    </xf>
    <xf numFmtId="171" fontId="34" fillId="29" borderId="4" xfId="11" applyFont="1" applyFill="1" applyBorder="1" applyAlignment="1" applyProtection="1">
      <alignment horizontal="center" vertical="center" wrapText="1"/>
    </xf>
    <xf numFmtId="171" fontId="34" fillId="29" borderId="52" xfId="11" applyFont="1" applyFill="1" applyBorder="1" applyAlignment="1" applyProtection="1">
      <alignment horizontal="center" vertical="center" wrapText="1"/>
    </xf>
    <xf numFmtId="171" fontId="34" fillId="29" borderId="3" xfId="11" applyFont="1" applyFill="1" applyBorder="1" applyAlignment="1" applyProtection="1">
      <alignment horizontal="center" vertical="center" wrapText="1"/>
    </xf>
    <xf numFmtId="171" fontId="34" fillId="29" borderId="2" xfId="11" applyFont="1" applyFill="1" applyBorder="1" applyAlignment="1" applyProtection="1">
      <alignment horizontal="center" vertical="center" wrapText="1"/>
    </xf>
    <xf numFmtId="44" fontId="37" fillId="4" borderId="3" xfId="2" applyFont="1" applyFill="1" applyBorder="1" applyAlignment="1">
      <alignment horizontal="center"/>
    </xf>
    <xf numFmtId="44" fontId="37" fillId="4" borderId="2" xfId="2" applyFont="1" applyFill="1" applyBorder="1" applyAlignment="1">
      <alignment horizontal="center"/>
    </xf>
    <xf numFmtId="44" fontId="37" fillId="24" borderId="1" xfId="2" applyFont="1" applyFill="1" applyBorder="1" applyAlignment="1" applyProtection="1">
      <alignment horizontal="center"/>
    </xf>
    <xf numFmtId="10" fontId="37" fillId="24" borderId="3" xfId="3" applyNumberFormat="1" applyFont="1" applyFill="1" applyBorder="1" applyAlignment="1" applyProtection="1">
      <alignment horizontal="center"/>
    </xf>
    <xf numFmtId="10" fontId="37" fillId="24" borderId="2" xfId="3" applyNumberFormat="1" applyFont="1" applyFill="1" applyBorder="1" applyAlignment="1" applyProtection="1">
      <alignment horizontal="center"/>
    </xf>
    <xf numFmtId="0" fontId="34" fillId="27" borderId="3" xfId="10" applyFont="1" applyFill="1" applyBorder="1" applyAlignment="1">
      <alignment horizontal="center" vertical="center" wrapText="1"/>
    </xf>
    <xf numFmtId="0" fontId="34" fillId="27" borderId="2" xfId="10" applyFont="1" applyFill="1" applyBorder="1" applyAlignment="1">
      <alignment horizontal="center" vertical="center" wrapText="1"/>
    </xf>
    <xf numFmtId="0" fontId="30" fillId="0" borderId="13" xfId="8" applyFont="1" applyBorder="1" applyAlignment="1">
      <alignment horizontal="center" vertical="center"/>
    </xf>
    <xf numFmtId="0" fontId="30" fillId="0" borderId="15" xfId="8" applyFont="1" applyBorder="1" applyAlignment="1">
      <alignment horizontal="center" vertical="center"/>
    </xf>
    <xf numFmtId="0" fontId="29" fillId="0" borderId="64" xfId="8" applyFont="1" applyBorder="1" applyAlignment="1">
      <alignment horizontal="center"/>
    </xf>
    <xf numFmtId="0" fontId="29" fillId="0" borderId="65" xfId="8" applyFont="1" applyBorder="1" applyAlignment="1">
      <alignment horizontal="center"/>
    </xf>
    <xf numFmtId="0" fontId="29" fillId="0" borderId="39" xfId="8" applyFont="1" applyBorder="1" applyAlignment="1">
      <alignment horizontal="center"/>
    </xf>
    <xf numFmtId="49" fontId="29" fillId="0" borderId="64" xfId="8" applyNumberFormat="1" applyFont="1" applyBorder="1" applyAlignment="1">
      <alignment horizontal="center"/>
    </xf>
    <xf numFmtId="49" fontId="29" fillId="0" borderId="65" xfId="8" applyNumberFormat="1" applyFont="1" applyBorder="1" applyAlignment="1">
      <alignment horizontal="center"/>
    </xf>
    <xf numFmtId="49" fontId="29" fillId="0" borderId="39" xfId="8" applyNumberFormat="1" applyFont="1" applyBorder="1" applyAlignment="1">
      <alignment horizontal="center"/>
    </xf>
    <xf numFmtId="0" fontId="29" fillId="0" borderId="64" xfId="8" applyFont="1" applyBorder="1" applyAlignment="1">
      <alignment horizontal="right" vertical="center"/>
    </xf>
    <xf numFmtId="0" fontId="29" fillId="0" borderId="39" xfId="8" applyFont="1" applyBorder="1" applyAlignment="1">
      <alignment horizontal="right" vertical="center"/>
    </xf>
    <xf numFmtId="0" fontId="29" fillId="0" borderId="22" xfId="8" applyFont="1" applyBorder="1" applyAlignment="1">
      <alignment horizontal="center" vertical="center"/>
    </xf>
    <xf numFmtId="0" fontId="29" fillId="0" borderId="23" xfId="8" applyFont="1" applyBorder="1" applyAlignment="1">
      <alignment horizontal="center" vertical="center"/>
    </xf>
    <xf numFmtId="0" fontId="29" fillId="0" borderId="24" xfId="8" applyFont="1" applyBorder="1" applyAlignment="1">
      <alignment horizontal="center" vertical="center"/>
    </xf>
    <xf numFmtId="0" fontId="30" fillId="0" borderId="22" xfId="8" applyFont="1" applyBorder="1" applyAlignment="1">
      <alignment horizontal="center" vertical="center"/>
    </xf>
    <xf numFmtId="0" fontId="30" fillId="0" borderId="23" xfId="8" applyFont="1" applyBorder="1" applyAlignment="1">
      <alignment horizontal="center" vertical="center"/>
    </xf>
    <xf numFmtId="0" fontId="30" fillId="0" borderId="24" xfId="8" applyFont="1" applyBorder="1" applyAlignment="1">
      <alignment horizontal="center" vertical="center"/>
    </xf>
    <xf numFmtId="0" fontId="29" fillId="2" borderId="0" xfId="8" applyFont="1" applyFill="1" applyAlignment="1">
      <alignment horizontal="center"/>
    </xf>
    <xf numFmtId="0" fontId="30" fillId="2" borderId="0" xfId="8" applyFont="1" applyFill="1" applyAlignment="1">
      <alignment horizontal="center"/>
    </xf>
    <xf numFmtId="0" fontId="30" fillId="0" borderId="64" xfId="8" applyFont="1" applyBorder="1" applyAlignment="1">
      <alignment horizontal="center" vertical="center"/>
    </xf>
    <xf numFmtId="0" fontId="30" fillId="0" borderId="39" xfId="8" applyFont="1" applyBorder="1" applyAlignment="1">
      <alignment horizontal="center" vertical="center"/>
    </xf>
    <xf numFmtId="0" fontId="29" fillId="0" borderId="64" xfId="8" applyFont="1" applyBorder="1" applyAlignment="1">
      <alignment horizontal="center" vertical="center"/>
    </xf>
    <xf numFmtId="0" fontId="29" fillId="0" borderId="65" xfId="8" applyFont="1" applyBorder="1" applyAlignment="1">
      <alignment horizontal="center" vertical="center"/>
    </xf>
    <xf numFmtId="0" fontId="29" fillId="0" borderId="39" xfId="8" applyFont="1" applyBorder="1" applyAlignment="1">
      <alignment horizontal="center" vertical="center"/>
    </xf>
    <xf numFmtId="0" fontId="30" fillId="0" borderId="65" xfId="8" applyFont="1" applyBorder="1" applyAlignment="1">
      <alignment horizontal="center" vertical="center"/>
    </xf>
  </cellXfs>
  <cellStyles count="13">
    <cellStyle name="40% - Ênfase4" xfId="7" builtinId="43"/>
    <cellStyle name="Ênfase1" xfId="6" builtinId="29"/>
    <cellStyle name="Moeda" xfId="2" builtinId="4"/>
    <cellStyle name="Moeda 2" xfId="12" xr:uid="{F3C344FD-D986-45D4-9F19-846FD0A6B4AE}"/>
    <cellStyle name="Normal" xfId="0" builtinId="0"/>
    <cellStyle name="Normal 19" xfId="8" xr:uid="{151D2A86-483A-4FE6-BAB9-BA5FEB80B7FC}"/>
    <cellStyle name="Normal 2" xfId="4" xr:uid="{00000000-0005-0000-0000-000002000000}"/>
    <cellStyle name="Normal 2 2" xfId="5" xr:uid="{00000000-0005-0000-0000-000003000000}"/>
    <cellStyle name="Normal_ANEXO II - Planilha Estimativa de Custos" xfId="10" xr:uid="{A0CE6C6B-1763-4F51-BEE2-16A2F56B4EC9}"/>
    <cellStyle name="Porcentagem" xfId="3" builtinId="5"/>
    <cellStyle name="Porcentagem 6" xfId="9" xr:uid="{E287A8BE-78E0-400D-80E0-3B9C57BCABC4}"/>
    <cellStyle name="Separador de milhares_ANEXO II - Planilha Estimativa de Custos" xfId="11" xr:uid="{856C51F4-8A9C-4B49-9EB3-802CF2ACFDCD}"/>
    <cellStyle name="Vírgula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B0F0"/>
  </sheetPr>
  <dimension ref="A1:J10"/>
  <sheetViews>
    <sheetView topLeftCell="B1" zoomScaleNormal="100" workbookViewId="0">
      <selection activeCell="D5" sqref="D5:D8"/>
    </sheetView>
  </sheetViews>
  <sheetFormatPr defaultColWidth="0" defaultRowHeight="15" zeroHeight="1" x14ac:dyDescent="0.25"/>
  <cols>
    <col min="1" max="1" width="4.140625" customWidth="1"/>
    <col min="2" max="2" width="5.5703125" customWidth="1"/>
    <col min="3" max="3" width="50.140625" bestFit="1" customWidth="1"/>
    <col min="4" max="4" width="22.140625" bestFit="1" customWidth="1"/>
    <col min="5" max="5" width="17.7109375" customWidth="1"/>
    <col min="6" max="6" width="13" customWidth="1"/>
    <col min="7" max="7" width="15.42578125" customWidth="1"/>
    <col min="8" max="8" width="15.5703125" customWidth="1"/>
    <col min="9" max="9" width="20" customWidth="1"/>
    <col min="10" max="10" width="17.7109375" customWidth="1"/>
    <col min="11" max="16384" width="9.140625" hidden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25">
      <c r="A2" s="1"/>
      <c r="B2" s="310" t="s">
        <v>0</v>
      </c>
      <c r="C2" s="311"/>
      <c r="D2" s="311"/>
      <c r="E2" s="311"/>
      <c r="F2" s="311"/>
      <c r="G2" s="311"/>
      <c r="H2" s="311"/>
      <c r="I2" s="312"/>
      <c r="J2" s="1"/>
    </row>
    <row r="3" spans="1:10" ht="19.5" thickBot="1" x14ac:dyDescent="0.3">
      <c r="A3" s="1"/>
      <c r="B3" s="313" t="s">
        <v>1</v>
      </c>
      <c r="C3" s="314"/>
      <c r="D3" s="314"/>
      <c r="E3" s="314"/>
      <c r="F3" s="314"/>
      <c r="G3" s="314"/>
      <c r="H3" s="314"/>
      <c r="I3" s="315"/>
      <c r="J3" s="1"/>
    </row>
    <row r="4" spans="1:10" ht="32.25" thickBot="1" x14ac:dyDescent="0.3">
      <c r="A4" s="1"/>
      <c r="B4" s="2" t="s">
        <v>2</v>
      </c>
      <c r="C4" s="121" t="s">
        <v>3</v>
      </c>
      <c r="D4" s="121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1"/>
    </row>
    <row r="5" spans="1:10" ht="16.5" thickBot="1" x14ac:dyDescent="0.3">
      <c r="A5" s="1"/>
      <c r="B5" s="3">
        <v>1</v>
      </c>
      <c r="C5" s="134" t="s">
        <v>10</v>
      </c>
      <c r="D5" s="319" t="s">
        <v>11</v>
      </c>
      <c r="E5" s="79">
        <f>'Item 1 - Oficial de Manut'!D163</f>
        <v>5083.9791213108201</v>
      </c>
      <c r="F5" s="119">
        <v>1</v>
      </c>
      <c r="G5" s="4">
        <f>E5*F5</f>
        <v>5083.9791213108201</v>
      </c>
      <c r="H5" s="316">
        <v>24</v>
      </c>
      <c r="I5" s="4">
        <f>H5*G5</f>
        <v>122015.49891145968</v>
      </c>
      <c r="J5" s="13"/>
    </row>
    <row r="6" spans="1:10" ht="16.5" thickBot="1" x14ac:dyDescent="0.3">
      <c r="A6" s="1"/>
      <c r="B6" s="3">
        <v>2</v>
      </c>
      <c r="C6" s="134" t="s">
        <v>12</v>
      </c>
      <c r="D6" s="320"/>
      <c r="E6" s="79">
        <f>'Item 2 - Eletrotécnico'!D163</f>
        <v>6345.3442321847187</v>
      </c>
      <c r="F6" s="119">
        <v>1</v>
      </c>
      <c r="G6" s="4">
        <f t="shared" ref="G6" si="0">E6*F6</f>
        <v>6345.3442321847187</v>
      </c>
      <c r="H6" s="317"/>
      <c r="I6" s="4">
        <f>H5*G6</f>
        <v>152288.26157243326</v>
      </c>
      <c r="J6" s="13"/>
    </row>
    <row r="7" spans="1:10" ht="16.5" thickBot="1" x14ac:dyDescent="0.3">
      <c r="A7" s="1"/>
      <c r="B7" s="3">
        <v>3</v>
      </c>
      <c r="C7" s="134" t="s">
        <v>13</v>
      </c>
      <c r="D7" s="320"/>
      <c r="E7" s="79">
        <f>'Item 3 - Serviços Eventuais'!H11</f>
        <v>2951.7729376220686</v>
      </c>
      <c r="F7" s="119" t="s">
        <v>14</v>
      </c>
      <c r="G7" s="4">
        <f>E7</f>
        <v>2951.7729376220686</v>
      </c>
      <c r="H7" s="317"/>
      <c r="I7" s="4">
        <f>H5*G7</f>
        <v>70842.550502929647</v>
      </c>
      <c r="J7" s="13"/>
    </row>
    <row r="8" spans="1:10" ht="16.5" thickBot="1" x14ac:dyDescent="0.3">
      <c r="A8" s="1"/>
      <c r="B8" s="3">
        <v>4</v>
      </c>
      <c r="C8" s="134" t="s">
        <v>15</v>
      </c>
      <c r="D8" s="321"/>
      <c r="E8" s="79">
        <f>'Item 4 - Peças'!F126</f>
        <v>4351.4995640441375</v>
      </c>
      <c r="F8" s="119" t="s">
        <v>14</v>
      </c>
      <c r="G8" s="4">
        <f>E8</f>
        <v>4351.4995640441375</v>
      </c>
      <c r="H8" s="318"/>
      <c r="I8" s="4">
        <f>H5*G8</f>
        <v>104435.9895370593</v>
      </c>
      <c r="J8" s="13"/>
    </row>
    <row r="9" spans="1:10" ht="16.5" customHeight="1" thickBot="1" x14ac:dyDescent="0.3">
      <c r="A9" s="1"/>
      <c r="B9" s="307" t="s">
        <v>16</v>
      </c>
      <c r="C9" s="308"/>
      <c r="D9" s="308"/>
      <c r="E9" s="309"/>
      <c r="F9" s="5"/>
      <c r="G9" s="11">
        <f>ROUND((+SUM(G5:G8)),2)</f>
        <v>18732.599999999999</v>
      </c>
      <c r="H9" s="11"/>
      <c r="I9" s="11">
        <f>SUM(I5:I8)</f>
        <v>449582.30052388192</v>
      </c>
      <c r="J9" s="13"/>
    </row>
    <row r="10" spans="1:10" ht="19.5" customHeight="1" x14ac:dyDescent="0.25">
      <c r="A10" s="1"/>
      <c r="B10" s="1"/>
      <c r="C10" s="1"/>
      <c r="D10" s="1"/>
      <c r="E10" s="1"/>
      <c r="F10" s="1"/>
      <c r="G10" s="1"/>
      <c r="H10" s="1"/>
      <c r="I10" s="13"/>
      <c r="J10" s="1"/>
    </row>
  </sheetData>
  <mergeCells count="5">
    <mergeCell ref="B9:E9"/>
    <mergeCell ref="B2:I2"/>
    <mergeCell ref="B3:I3"/>
    <mergeCell ref="H5:H8"/>
    <mergeCell ref="D5:D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/>
  <dimension ref="A1:WVO166"/>
  <sheetViews>
    <sheetView zoomScale="80" zoomScaleNormal="80" workbookViewId="0">
      <selection activeCell="D142" sqref="D142"/>
    </sheetView>
  </sheetViews>
  <sheetFormatPr defaultColWidth="0" defaultRowHeight="15.75" customHeight="1" zeroHeight="1" outlineLevelRow="3" x14ac:dyDescent="0.3"/>
  <cols>
    <col min="1" max="1" width="18.7109375" style="19" customWidth="1"/>
    <col min="2" max="2" width="72" style="19" customWidth="1"/>
    <col min="3" max="3" width="22.85546875" style="19" customWidth="1"/>
    <col min="4" max="4" width="29.85546875" style="19" customWidth="1"/>
    <col min="5" max="5" width="11.85546875" style="19" customWidth="1"/>
    <col min="6" max="6" width="9.140625" style="19" customWidth="1"/>
    <col min="7" max="254" width="9.140625" style="19" hidden="1"/>
    <col min="255" max="255" width="18.7109375" style="19" hidden="1"/>
    <col min="256" max="256" width="72" style="19" hidden="1"/>
    <col min="257" max="257" width="22.85546875" style="19" hidden="1"/>
    <col min="258" max="258" width="29.85546875" style="19" hidden="1"/>
    <col min="259" max="260" width="9.140625" style="19" hidden="1"/>
    <col min="261" max="261" width="15.42578125" style="19" hidden="1"/>
    <col min="262" max="510" width="9.140625" style="19" hidden="1"/>
    <col min="511" max="511" width="18.7109375" style="19" hidden="1"/>
    <col min="512" max="512" width="72" style="19" hidden="1"/>
    <col min="513" max="513" width="22.85546875" style="19" hidden="1"/>
    <col min="514" max="514" width="29.85546875" style="19" hidden="1"/>
    <col min="515" max="516" width="9.140625" style="19" hidden="1"/>
    <col min="517" max="517" width="15.42578125" style="19" hidden="1"/>
    <col min="518" max="766" width="9.140625" style="19" hidden="1"/>
    <col min="767" max="767" width="18.7109375" style="19" hidden="1"/>
    <col min="768" max="768" width="72" style="19" hidden="1"/>
    <col min="769" max="769" width="22.85546875" style="19" hidden="1"/>
    <col min="770" max="770" width="29.85546875" style="19" hidden="1"/>
    <col min="771" max="772" width="9.140625" style="19" hidden="1"/>
    <col min="773" max="773" width="15.42578125" style="19" hidden="1"/>
    <col min="774" max="1022" width="9.140625" style="19" hidden="1"/>
    <col min="1023" max="1023" width="18.7109375" style="19" hidden="1"/>
    <col min="1024" max="1024" width="72" style="19" hidden="1"/>
    <col min="1025" max="1025" width="22.85546875" style="19" hidden="1"/>
    <col min="1026" max="1026" width="29.85546875" style="19" hidden="1"/>
    <col min="1027" max="1028" width="9.140625" style="19" hidden="1"/>
    <col min="1029" max="1029" width="15.42578125" style="19" hidden="1"/>
    <col min="1030" max="1278" width="9.140625" style="19" hidden="1"/>
    <col min="1279" max="1279" width="18.7109375" style="19" hidden="1"/>
    <col min="1280" max="1280" width="72" style="19" hidden="1"/>
    <col min="1281" max="1281" width="22.85546875" style="19" hidden="1"/>
    <col min="1282" max="1282" width="29.85546875" style="19" hidden="1"/>
    <col min="1283" max="1284" width="9.140625" style="19" hidden="1"/>
    <col min="1285" max="1285" width="15.42578125" style="19" hidden="1"/>
    <col min="1286" max="1534" width="9.140625" style="19" hidden="1"/>
    <col min="1535" max="1535" width="18.7109375" style="19" hidden="1"/>
    <col min="1536" max="1536" width="72" style="19" hidden="1"/>
    <col min="1537" max="1537" width="22.85546875" style="19" hidden="1"/>
    <col min="1538" max="1538" width="29.85546875" style="19" hidden="1"/>
    <col min="1539" max="1540" width="9.140625" style="19" hidden="1"/>
    <col min="1541" max="1541" width="15.42578125" style="19" hidden="1"/>
    <col min="1542" max="1790" width="9.140625" style="19" hidden="1"/>
    <col min="1791" max="1791" width="18.7109375" style="19" hidden="1"/>
    <col min="1792" max="1792" width="72" style="19" hidden="1"/>
    <col min="1793" max="1793" width="22.85546875" style="19" hidden="1"/>
    <col min="1794" max="1794" width="29.85546875" style="19" hidden="1"/>
    <col min="1795" max="1796" width="9.140625" style="19" hidden="1"/>
    <col min="1797" max="1797" width="15.42578125" style="19" hidden="1"/>
    <col min="1798" max="2046" width="9.140625" style="19" hidden="1"/>
    <col min="2047" max="2047" width="18.7109375" style="19" hidden="1"/>
    <col min="2048" max="2048" width="72" style="19" hidden="1"/>
    <col min="2049" max="2049" width="22.85546875" style="19" hidden="1"/>
    <col min="2050" max="2050" width="29.85546875" style="19" hidden="1"/>
    <col min="2051" max="2052" width="9.140625" style="19" hidden="1"/>
    <col min="2053" max="2053" width="15.42578125" style="19" hidden="1"/>
    <col min="2054" max="2302" width="9.140625" style="19" hidden="1"/>
    <col min="2303" max="2303" width="18.7109375" style="19" hidden="1"/>
    <col min="2304" max="2304" width="72" style="19" hidden="1"/>
    <col min="2305" max="2305" width="22.85546875" style="19" hidden="1"/>
    <col min="2306" max="2306" width="29.85546875" style="19" hidden="1"/>
    <col min="2307" max="2308" width="9.140625" style="19" hidden="1"/>
    <col min="2309" max="2309" width="15.42578125" style="19" hidden="1"/>
    <col min="2310" max="2558" width="9.140625" style="19" hidden="1"/>
    <col min="2559" max="2559" width="18.7109375" style="19" hidden="1"/>
    <col min="2560" max="2560" width="72" style="19" hidden="1"/>
    <col min="2561" max="2561" width="22.85546875" style="19" hidden="1"/>
    <col min="2562" max="2562" width="29.85546875" style="19" hidden="1"/>
    <col min="2563" max="2564" width="9.140625" style="19" hidden="1"/>
    <col min="2565" max="2565" width="15.42578125" style="19" hidden="1"/>
    <col min="2566" max="2814" width="9.140625" style="19" hidden="1"/>
    <col min="2815" max="2815" width="18.7109375" style="19" hidden="1"/>
    <col min="2816" max="2816" width="72" style="19" hidden="1"/>
    <col min="2817" max="2817" width="22.85546875" style="19" hidden="1"/>
    <col min="2818" max="2818" width="29.85546875" style="19" hidden="1"/>
    <col min="2819" max="2820" width="9.140625" style="19" hidden="1"/>
    <col min="2821" max="2821" width="15.42578125" style="19" hidden="1"/>
    <col min="2822" max="3070" width="9.140625" style="19" hidden="1"/>
    <col min="3071" max="3071" width="18.7109375" style="19" hidden="1"/>
    <col min="3072" max="3072" width="72" style="19" hidden="1"/>
    <col min="3073" max="3073" width="22.85546875" style="19" hidden="1"/>
    <col min="3074" max="3074" width="29.85546875" style="19" hidden="1"/>
    <col min="3075" max="3076" width="9.140625" style="19" hidden="1"/>
    <col min="3077" max="3077" width="15.42578125" style="19" hidden="1"/>
    <col min="3078" max="3326" width="9.140625" style="19" hidden="1"/>
    <col min="3327" max="3327" width="18.7109375" style="19" hidden="1"/>
    <col min="3328" max="3328" width="72" style="19" hidden="1"/>
    <col min="3329" max="3329" width="22.85546875" style="19" hidden="1"/>
    <col min="3330" max="3330" width="29.85546875" style="19" hidden="1"/>
    <col min="3331" max="3332" width="9.140625" style="19" hidden="1"/>
    <col min="3333" max="3333" width="15.42578125" style="19" hidden="1"/>
    <col min="3334" max="3582" width="9.140625" style="19" hidden="1"/>
    <col min="3583" max="3583" width="18.7109375" style="19" hidden="1"/>
    <col min="3584" max="3584" width="72" style="19" hidden="1"/>
    <col min="3585" max="3585" width="22.85546875" style="19" hidden="1"/>
    <col min="3586" max="3586" width="29.85546875" style="19" hidden="1"/>
    <col min="3587" max="3588" width="9.140625" style="19" hidden="1"/>
    <col min="3589" max="3589" width="15.42578125" style="19" hidden="1"/>
    <col min="3590" max="3838" width="9.140625" style="19" hidden="1"/>
    <col min="3839" max="3839" width="18.7109375" style="19" hidden="1"/>
    <col min="3840" max="3840" width="72" style="19" hidden="1"/>
    <col min="3841" max="3841" width="22.85546875" style="19" hidden="1"/>
    <col min="3842" max="3842" width="29.85546875" style="19" hidden="1"/>
    <col min="3843" max="3844" width="9.140625" style="19" hidden="1"/>
    <col min="3845" max="3845" width="15.42578125" style="19" hidden="1"/>
    <col min="3846" max="4094" width="9.140625" style="19" hidden="1"/>
    <col min="4095" max="4095" width="18.7109375" style="19" hidden="1"/>
    <col min="4096" max="4096" width="72" style="19" hidden="1"/>
    <col min="4097" max="4097" width="22.85546875" style="19" hidden="1"/>
    <col min="4098" max="4098" width="29.85546875" style="19" hidden="1"/>
    <col min="4099" max="4100" width="9.140625" style="19" hidden="1"/>
    <col min="4101" max="4101" width="15.42578125" style="19" hidden="1"/>
    <col min="4102" max="4350" width="9.140625" style="19" hidden="1"/>
    <col min="4351" max="4351" width="18.7109375" style="19" hidden="1"/>
    <col min="4352" max="4352" width="72" style="19" hidden="1"/>
    <col min="4353" max="4353" width="22.85546875" style="19" hidden="1"/>
    <col min="4354" max="4354" width="29.85546875" style="19" hidden="1"/>
    <col min="4355" max="4356" width="9.140625" style="19" hidden="1"/>
    <col min="4357" max="4357" width="15.42578125" style="19" hidden="1"/>
    <col min="4358" max="4606" width="9.140625" style="19" hidden="1"/>
    <col min="4607" max="4607" width="18.7109375" style="19" hidden="1"/>
    <col min="4608" max="4608" width="72" style="19" hidden="1"/>
    <col min="4609" max="4609" width="22.85546875" style="19" hidden="1"/>
    <col min="4610" max="4610" width="29.85546875" style="19" hidden="1"/>
    <col min="4611" max="4612" width="9.140625" style="19" hidden="1"/>
    <col min="4613" max="4613" width="15.42578125" style="19" hidden="1"/>
    <col min="4614" max="4862" width="9.140625" style="19" hidden="1"/>
    <col min="4863" max="4863" width="18.7109375" style="19" hidden="1"/>
    <col min="4864" max="4864" width="72" style="19" hidden="1"/>
    <col min="4865" max="4865" width="22.85546875" style="19" hidden="1"/>
    <col min="4866" max="4866" width="29.85546875" style="19" hidden="1"/>
    <col min="4867" max="4868" width="9.140625" style="19" hidden="1"/>
    <col min="4869" max="4869" width="15.42578125" style="19" hidden="1"/>
    <col min="4870" max="5118" width="9.140625" style="19" hidden="1"/>
    <col min="5119" max="5119" width="18.7109375" style="19" hidden="1"/>
    <col min="5120" max="5120" width="72" style="19" hidden="1"/>
    <col min="5121" max="5121" width="22.85546875" style="19" hidden="1"/>
    <col min="5122" max="5122" width="29.85546875" style="19" hidden="1"/>
    <col min="5123" max="5124" width="9.140625" style="19" hidden="1"/>
    <col min="5125" max="5125" width="15.42578125" style="19" hidden="1"/>
    <col min="5126" max="5374" width="9.140625" style="19" hidden="1"/>
    <col min="5375" max="5375" width="18.7109375" style="19" hidden="1"/>
    <col min="5376" max="5376" width="72" style="19" hidden="1"/>
    <col min="5377" max="5377" width="22.85546875" style="19" hidden="1"/>
    <col min="5378" max="5378" width="29.85546875" style="19" hidden="1"/>
    <col min="5379" max="5380" width="9.140625" style="19" hidden="1"/>
    <col min="5381" max="5381" width="15.42578125" style="19" hidden="1"/>
    <col min="5382" max="5630" width="9.140625" style="19" hidden="1"/>
    <col min="5631" max="5631" width="18.7109375" style="19" hidden="1"/>
    <col min="5632" max="5632" width="72" style="19" hidden="1"/>
    <col min="5633" max="5633" width="22.85546875" style="19" hidden="1"/>
    <col min="5634" max="5634" width="29.85546875" style="19" hidden="1"/>
    <col min="5635" max="5636" width="9.140625" style="19" hidden="1"/>
    <col min="5637" max="5637" width="15.42578125" style="19" hidden="1"/>
    <col min="5638" max="5886" width="9.140625" style="19" hidden="1"/>
    <col min="5887" max="5887" width="18.7109375" style="19" hidden="1"/>
    <col min="5888" max="5888" width="72" style="19" hidden="1"/>
    <col min="5889" max="5889" width="22.85546875" style="19" hidden="1"/>
    <col min="5890" max="5890" width="29.85546875" style="19" hidden="1"/>
    <col min="5891" max="5892" width="9.140625" style="19" hidden="1"/>
    <col min="5893" max="5893" width="15.42578125" style="19" hidden="1"/>
    <col min="5894" max="6142" width="9.140625" style="19" hidden="1"/>
    <col min="6143" max="6143" width="18.7109375" style="19" hidden="1"/>
    <col min="6144" max="6144" width="72" style="19" hidden="1"/>
    <col min="6145" max="6145" width="22.85546875" style="19" hidden="1"/>
    <col min="6146" max="6146" width="29.85546875" style="19" hidden="1"/>
    <col min="6147" max="6148" width="9.140625" style="19" hidden="1"/>
    <col min="6149" max="6149" width="15.42578125" style="19" hidden="1"/>
    <col min="6150" max="6398" width="9.140625" style="19" hidden="1"/>
    <col min="6399" max="6399" width="18.7109375" style="19" hidden="1"/>
    <col min="6400" max="6400" width="72" style="19" hidden="1"/>
    <col min="6401" max="6401" width="22.85546875" style="19" hidden="1"/>
    <col min="6402" max="6402" width="29.85546875" style="19" hidden="1"/>
    <col min="6403" max="6404" width="9.140625" style="19" hidden="1"/>
    <col min="6405" max="6405" width="15.42578125" style="19" hidden="1"/>
    <col min="6406" max="6654" width="9.140625" style="19" hidden="1"/>
    <col min="6655" max="6655" width="18.7109375" style="19" hidden="1"/>
    <col min="6656" max="6656" width="72" style="19" hidden="1"/>
    <col min="6657" max="6657" width="22.85546875" style="19" hidden="1"/>
    <col min="6658" max="6658" width="29.85546875" style="19" hidden="1"/>
    <col min="6659" max="6660" width="9.140625" style="19" hidden="1"/>
    <col min="6661" max="6661" width="15.42578125" style="19" hidden="1"/>
    <col min="6662" max="6910" width="9.140625" style="19" hidden="1"/>
    <col min="6911" max="6911" width="18.7109375" style="19" hidden="1"/>
    <col min="6912" max="6912" width="72" style="19" hidden="1"/>
    <col min="6913" max="6913" width="22.85546875" style="19" hidden="1"/>
    <col min="6914" max="6914" width="29.85546875" style="19" hidden="1"/>
    <col min="6915" max="6916" width="9.140625" style="19" hidden="1"/>
    <col min="6917" max="6917" width="15.42578125" style="19" hidden="1"/>
    <col min="6918" max="7166" width="9.140625" style="19" hidden="1"/>
    <col min="7167" max="7167" width="18.7109375" style="19" hidden="1"/>
    <col min="7168" max="7168" width="72" style="19" hidden="1"/>
    <col min="7169" max="7169" width="22.85546875" style="19" hidden="1"/>
    <col min="7170" max="7170" width="29.85546875" style="19" hidden="1"/>
    <col min="7171" max="7172" width="9.140625" style="19" hidden="1"/>
    <col min="7173" max="7173" width="15.42578125" style="19" hidden="1"/>
    <col min="7174" max="7422" width="9.140625" style="19" hidden="1"/>
    <col min="7423" max="7423" width="18.7109375" style="19" hidden="1"/>
    <col min="7424" max="7424" width="72" style="19" hidden="1"/>
    <col min="7425" max="7425" width="22.85546875" style="19" hidden="1"/>
    <col min="7426" max="7426" width="29.85546875" style="19" hidden="1"/>
    <col min="7427" max="7428" width="9.140625" style="19" hidden="1"/>
    <col min="7429" max="7429" width="15.42578125" style="19" hidden="1"/>
    <col min="7430" max="7678" width="9.140625" style="19" hidden="1"/>
    <col min="7679" max="7679" width="18.7109375" style="19" hidden="1"/>
    <col min="7680" max="7680" width="72" style="19" hidden="1"/>
    <col min="7681" max="7681" width="22.85546875" style="19" hidden="1"/>
    <col min="7682" max="7682" width="29.85546875" style="19" hidden="1"/>
    <col min="7683" max="7684" width="9.140625" style="19" hidden="1"/>
    <col min="7685" max="7685" width="15.42578125" style="19" hidden="1"/>
    <col min="7686" max="7934" width="9.140625" style="19" hidden="1"/>
    <col min="7935" max="7935" width="18.7109375" style="19" hidden="1"/>
    <col min="7936" max="7936" width="72" style="19" hidden="1"/>
    <col min="7937" max="7937" width="22.85546875" style="19" hidden="1"/>
    <col min="7938" max="7938" width="29.85546875" style="19" hidden="1"/>
    <col min="7939" max="7940" width="9.140625" style="19" hidden="1"/>
    <col min="7941" max="7941" width="15.42578125" style="19" hidden="1"/>
    <col min="7942" max="8190" width="9.140625" style="19" hidden="1"/>
    <col min="8191" max="8191" width="18.7109375" style="19" hidden="1"/>
    <col min="8192" max="8192" width="72" style="19" hidden="1"/>
    <col min="8193" max="8193" width="22.85546875" style="19" hidden="1"/>
    <col min="8194" max="8194" width="29.85546875" style="19" hidden="1"/>
    <col min="8195" max="8196" width="9.140625" style="19" hidden="1"/>
    <col min="8197" max="8197" width="15.42578125" style="19" hidden="1"/>
    <col min="8198" max="8446" width="9.140625" style="19" hidden="1"/>
    <col min="8447" max="8447" width="18.7109375" style="19" hidden="1"/>
    <col min="8448" max="8448" width="72" style="19" hidden="1"/>
    <col min="8449" max="8449" width="22.85546875" style="19" hidden="1"/>
    <col min="8450" max="8450" width="29.85546875" style="19" hidden="1"/>
    <col min="8451" max="8452" width="9.140625" style="19" hidden="1"/>
    <col min="8453" max="8453" width="15.42578125" style="19" hidden="1"/>
    <col min="8454" max="8702" width="9.140625" style="19" hidden="1"/>
    <col min="8703" max="8703" width="18.7109375" style="19" hidden="1"/>
    <col min="8704" max="8704" width="72" style="19" hidden="1"/>
    <col min="8705" max="8705" width="22.85546875" style="19" hidden="1"/>
    <col min="8706" max="8706" width="29.85546875" style="19" hidden="1"/>
    <col min="8707" max="8708" width="9.140625" style="19" hidden="1"/>
    <col min="8709" max="8709" width="15.42578125" style="19" hidden="1"/>
    <col min="8710" max="8958" width="9.140625" style="19" hidden="1"/>
    <col min="8959" max="8959" width="18.7109375" style="19" hidden="1"/>
    <col min="8960" max="8960" width="72" style="19" hidden="1"/>
    <col min="8961" max="8961" width="22.85546875" style="19" hidden="1"/>
    <col min="8962" max="8962" width="29.85546875" style="19" hidden="1"/>
    <col min="8963" max="8964" width="9.140625" style="19" hidden="1"/>
    <col min="8965" max="8965" width="15.42578125" style="19" hidden="1"/>
    <col min="8966" max="9214" width="9.140625" style="19" hidden="1"/>
    <col min="9215" max="9215" width="18.7109375" style="19" hidden="1"/>
    <col min="9216" max="9216" width="72" style="19" hidden="1"/>
    <col min="9217" max="9217" width="22.85546875" style="19" hidden="1"/>
    <col min="9218" max="9218" width="29.85546875" style="19" hidden="1"/>
    <col min="9219" max="9220" width="9.140625" style="19" hidden="1"/>
    <col min="9221" max="9221" width="15.42578125" style="19" hidden="1"/>
    <col min="9222" max="9470" width="9.140625" style="19" hidden="1"/>
    <col min="9471" max="9471" width="18.7109375" style="19" hidden="1"/>
    <col min="9472" max="9472" width="72" style="19" hidden="1"/>
    <col min="9473" max="9473" width="22.85546875" style="19" hidden="1"/>
    <col min="9474" max="9474" width="29.85546875" style="19" hidden="1"/>
    <col min="9475" max="9476" width="9.140625" style="19" hidden="1"/>
    <col min="9477" max="9477" width="15.42578125" style="19" hidden="1"/>
    <col min="9478" max="9726" width="9.140625" style="19" hidden="1"/>
    <col min="9727" max="9727" width="18.7109375" style="19" hidden="1"/>
    <col min="9728" max="9728" width="72" style="19" hidden="1"/>
    <col min="9729" max="9729" width="22.85546875" style="19" hidden="1"/>
    <col min="9730" max="9730" width="29.85546875" style="19" hidden="1"/>
    <col min="9731" max="9732" width="9.140625" style="19" hidden="1"/>
    <col min="9733" max="9733" width="15.42578125" style="19" hidden="1"/>
    <col min="9734" max="9982" width="9.140625" style="19" hidden="1"/>
    <col min="9983" max="9983" width="18.7109375" style="19" hidden="1"/>
    <col min="9984" max="9984" width="72" style="19" hidden="1"/>
    <col min="9985" max="9985" width="22.85546875" style="19" hidden="1"/>
    <col min="9986" max="9986" width="29.85546875" style="19" hidden="1"/>
    <col min="9987" max="9988" width="9.140625" style="19" hidden="1"/>
    <col min="9989" max="9989" width="15.42578125" style="19" hidden="1"/>
    <col min="9990" max="10238" width="9.140625" style="19" hidden="1"/>
    <col min="10239" max="10239" width="18.7109375" style="19" hidden="1"/>
    <col min="10240" max="10240" width="72" style="19" hidden="1"/>
    <col min="10241" max="10241" width="22.85546875" style="19" hidden="1"/>
    <col min="10242" max="10242" width="29.85546875" style="19" hidden="1"/>
    <col min="10243" max="10244" width="9.140625" style="19" hidden="1"/>
    <col min="10245" max="10245" width="15.42578125" style="19" hidden="1"/>
    <col min="10246" max="10494" width="9.140625" style="19" hidden="1"/>
    <col min="10495" max="10495" width="18.7109375" style="19" hidden="1"/>
    <col min="10496" max="10496" width="72" style="19" hidden="1"/>
    <col min="10497" max="10497" width="22.85546875" style="19" hidden="1"/>
    <col min="10498" max="10498" width="29.85546875" style="19" hidden="1"/>
    <col min="10499" max="10500" width="9.140625" style="19" hidden="1"/>
    <col min="10501" max="10501" width="15.42578125" style="19" hidden="1"/>
    <col min="10502" max="10750" width="9.140625" style="19" hidden="1"/>
    <col min="10751" max="10751" width="18.7109375" style="19" hidden="1"/>
    <col min="10752" max="10752" width="72" style="19" hidden="1"/>
    <col min="10753" max="10753" width="22.85546875" style="19" hidden="1"/>
    <col min="10754" max="10754" width="29.85546875" style="19" hidden="1"/>
    <col min="10755" max="10756" width="9.140625" style="19" hidden="1"/>
    <col min="10757" max="10757" width="15.42578125" style="19" hidden="1"/>
    <col min="10758" max="11006" width="9.140625" style="19" hidden="1"/>
    <col min="11007" max="11007" width="18.7109375" style="19" hidden="1"/>
    <col min="11008" max="11008" width="72" style="19" hidden="1"/>
    <col min="11009" max="11009" width="22.85546875" style="19" hidden="1"/>
    <col min="11010" max="11010" width="29.85546875" style="19" hidden="1"/>
    <col min="11011" max="11012" width="9.140625" style="19" hidden="1"/>
    <col min="11013" max="11013" width="15.42578125" style="19" hidden="1"/>
    <col min="11014" max="11262" width="9.140625" style="19" hidden="1"/>
    <col min="11263" max="11263" width="18.7109375" style="19" hidden="1"/>
    <col min="11264" max="11264" width="72" style="19" hidden="1"/>
    <col min="11265" max="11265" width="22.85546875" style="19" hidden="1"/>
    <col min="11266" max="11266" width="29.85546875" style="19" hidden="1"/>
    <col min="11267" max="11268" width="9.140625" style="19" hidden="1"/>
    <col min="11269" max="11269" width="15.42578125" style="19" hidden="1"/>
    <col min="11270" max="11518" width="9.140625" style="19" hidden="1"/>
    <col min="11519" max="11519" width="18.7109375" style="19" hidden="1"/>
    <col min="11520" max="11520" width="72" style="19" hidden="1"/>
    <col min="11521" max="11521" width="22.85546875" style="19" hidden="1"/>
    <col min="11522" max="11522" width="29.85546875" style="19" hidden="1"/>
    <col min="11523" max="11524" width="9.140625" style="19" hidden="1"/>
    <col min="11525" max="11525" width="15.42578125" style="19" hidden="1"/>
    <col min="11526" max="11774" width="9.140625" style="19" hidden="1"/>
    <col min="11775" max="11775" width="18.7109375" style="19" hidden="1"/>
    <col min="11776" max="11776" width="72" style="19" hidden="1"/>
    <col min="11777" max="11777" width="22.85546875" style="19" hidden="1"/>
    <col min="11778" max="11778" width="29.85546875" style="19" hidden="1"/>
    <col min="11779" max="11780" width="9.140625" style="19" hidden="1"/>
    <col min="11781" max="11781" width="15.42578125" style="19" hidden="1"/>
    <col min="11782" max="12030" width="9.140625" style="19" hidden="1"/>
    <col min="12031" max="12031" width="18.7109375" style="19" hidden="1"/>
    <col min="12032" max="12032" width="72" style="19" hidden="1"/>
    <col min="12033" max="12033" width="22.85546875" style="19" hidden="1"/>
    <col min="12034" max="12034" width="29.85546875" style="19" hidden="1"/>
    <col min="12035" max="12036" width="9.140625" style="19" hidden="1"/>
    <col min="12037" max="12037" width="15.42578125" style="19" hidden="1"/>
    <col min="12038" max="12286" width="9.140625" style="19" hidden="1"/>
    <col min="12287" max="12287" width="18.7109375" style="19" hidden="1"/>
    <col min="12288" max="12288" width="72" style="19" hidden="1"/>
    <col min="12289" max="12289" width="22.85546875" style="19" hidden="1"/>
    <col min="12290" max="12290" width="29.85546875" style="19" hidden="1"/>
    <col min="12291" max="12292" width="9.140625" style="19" hidden="1"/>
    <col min="12293" max="12293" width="15.42578125" style="19" hidden="1"/>
    <col min="12294" max="12542" width="9.140625" style="19" hidden="1"/>
    <col min="12543" max="12543" width="18.7109375" style="19" hidden="1"/>
    <col min="12544" max="12544" width="72" style="19" hidden="1"/>
    <col min="12545" max="12545" width="22.85546875" style="19" hidden="1"/>
    <col min="12546" max="12546" width="29.85546875" style="19" hidden="1"/>
    <col min="12547" max="12548" width="9.140625" style="19" hidden="1"/>
    <col min="12549" max="12549" width="15.42578125" style="19" hidden="1"/>
    <col min="12550" max="12798" width="9.140625" style="19" hidden="1"/>
    <col min="12799" max="12799" width="18.7109375" style="19" hidden="1"/>
    <col min="12800" max="12800" width="72" style="19" hidden="1"/>
    <col min="12801" max="12801" width="22.85546875" style="19" hidden="1"/>
    <col min="12802" max="12802" width="29.85546875" style="19" hidden="1"/>
    <col min="12803" max="12804" width="9.140625" style="19" hidden="1"/>
    <col min="12805" max="12805" width="15.42578125" style="19" hidden="1"/>
    <col min="12806" max="13054" width="9.140625" style="19" hidden="1"/>
    <col min="13055" max="13055" width="18.7109375" style="19" hidden="1"/>
    <col min="13056" max="13056" width="72" style="19" hidden="1"/>
    <col min="13057" max="13057" width="22.85546875" style="19" hidden="1"/>
    <col min="13058" max="13058" width="29.85546875" style="19" hidden="1"/>
    <col min="13059" max="13060" width="9.140625" style="19" hidden="1"/>
    <col min="13061" max="13061" width="15.42578125" style="19" hidden="1"/>
    <col min="13062" max="13310" width="9.140625" style="19" hidden="1"/>
    <col min="13311" max="13311" width="18.7109375" style="19" hidden="1"/>
    <col min="13312" max="13312" width="72" style="19" hidden="1"/>
    <col min="13313" max="13313" width="22.85546875" style="19" hidden="1"/>
    <col min="13314" max="13314" width="29.85546875" style="19" hidden="1"/>
    <col min="13315" max="13316" width="9.140625" style="19" hidden="1"/>
    <col min="13317" max="13317" width="15.42578125" style="19" hidden="1"/>
    <col min="13318" max="13566" width="9.140625" style="19" hidden="1"/>
    <col min="13567" max="13567" width="18.7109375" style="19" hidden="1"/>
    <col min="13568" max="13568" width="72" style="19" hidden="1"/>
    <col min="13569" max="13569" width="22.85546875" style="19" hidden="1"/>
    <col min="13570" max="13570" width="29.85546875" style="19" hidden="1"/>
    <col min="13571" max="13572" width="9.140625" style="19" hidden="1"/>
    <col min="13573" max="13573" width="15.42578125" style="19" hidden="1"/>
    <col min="13574" max="13822" width="9.140625" style="19" hidden="1"/>
    <col min="13823" max="13823" width="18.7109375" style="19" hidden="1"/>
    <col min="13824" max="13824" width="72" style="19" hidden="1"/>
    <col min="13825" max="13825" width="22.85546875" style="19" hidden="1"/>
    <col min="13826" max="13826" width="29.85546875" style="19" hidden="1"/>
    <col min="13827" max="13828" width="9.140625" style="19" hidden="1"/>
    <col min="13829" max="13829" width="15.42578125" style="19" hidden="1"/>
    <col min="13830" max="14078" width="9.140625" style="19" hidden="1"/>
    <col min="14079" max="14079" width="18.7109375" style="19" hidden="1"/>
    <col min="14080" max="14080" width="72" style="19" hidden="1"/>
    <col min="14081" max="14081" width="22.85546875" style="19" hidden="1"/>
    <col min="14082" max="14082" width="29.85546875" style="19" hidden="1"/>
    <col min="14083" max="14084" width="9.140625" style="19" hidden="1"/>
    <col min="14085" max="14085" width="15.42578125" style="19" hidden="1"/>
    <col min="14086" max="14334" width="9.140625" style="19" hidden="1"/>
    <col min="14335" max="14335" width="18.7109375" style="19" hidden="1"/>
    <col min="14336" max="14336" width="72" style="19" hidden="1"/>
    <col min="14337" max="14337" width="22.85546875" style="19" hidden="1"/>
    <col min="14338" max="14338" width="29.85546875" style="19" hidden="1"/>
    <col min="14339" max="14340" width="9.140625" style="19" hidden="1"/>
    <col min="14341" max="14341" width="15.42578125" style="19" hidden="1"/>
    <col min="14342" max="14590" width="9.140625" style="19" hidden="1"/>
    <col min="14591" max="14591" width="18.7109375" style="19" hidden="1"/>
    <col min="14592" max="14592" width="72" style="19" hidden="1"/>
    <col min="14593" max="14593" width="22.85546875" style="19" hidden="1"/>
    <col min="14594" max="14594" width="29.85546875" style="19" hidden="1"/>
    <col min="14595" max="14596" width="9.140625" style="19" hidden="1"/>
    <col min="14597" max="14597" width="15.42578125" style="19" hidden="1"/>
    <col min="14598" max="14846" width="9.140625" style="19" hidden="1"/>
    <col min="14847" max="14847" width="18.7109375" style="19" hidden="1"/>
    <col min="14848" max="14848" width="72" style="19" hidden="1"/>
    <col min="14849" max="14849" width="22.85546875" style="19" hidden="1"/>
    <col min="14850" max="14850" width="29.85546875" style="19" hidden="1"/>
    <col min="14851" max="14852" width="9.140625" style="19" hidden="1"/>
    <col min="14853" max="14853" width="15.42578125" style="19" hidden="1"/>
    <col min="14854" max="15102" width="9.140625" style="19" hidden="1"/>
    <col min="15103" max="15103" width="18.7109375" style="19" hidden="1"/>
    <col min="15104" max="15104" width="72" style="19" hidden="1"/>
    <col min="15105" max="15105" width="22.85546875" style="19" hidden="1"/>
    <col min="15106" max="15106" width="29.85546875" style="19" hidden="1"/>
    <col min="15107" max="15108" width="9.140625" style="19" hidden="1"/>
    <col min="15109" max="15109" width="15.42578125" style="19" hidden="1"/>
    <col min="15110" max="15358" width="9.140625" style="19" hidden="1"/>
    <col min="15359" max="15359" width="18.7109375" style="19" hidden="1"/>
    <col min="15360" max="15360" width="72" style="19" hidden="1"/>
    <col min="15361" max="15361" width="22.85546875" style="19" hidden="1"/>
    <col min="15362" max="15362" width="29.85546875" style="19" hidden="1"/>
    <col min="15363" max="15364" width="9.140625" style="19" hidden="1"/>
    <col min="15365" max="15365" width="15.42578125" style="19" hidden="1"/>
    <col min="15366" max="15614" width="9.140625" style="19" hidden="1"/>
    <col min="15615" max="15615" width="18.7109375" style="19" hidden="1"/>
    <col min="15616" max="15616" width="72" style="19" hidden="1"/>
    <col min="15617" max="15617" width="22.85546875" style="19" hidden="1"/>
    <col min="15618" max="15618" width="29.85546875" style="19" hidden="1"/>
    <col min="15619" max="15620" width="9.140625" style="19" hidden="1"/>
    <col min="15621" max="15621" width="15.42578125" style="19" hidden="1"/>
    <col min="15622" max="15870" width="9.140625" style="19" hidden="1"/>
    <col min="15871" max="15871" width="18.7109375" style="19" hidden="1"/>
    <col min="15872" max="15872" width="72" style="19" hidden="1"/>
    <col min="15873" max="15873" width="22.85546875" style="19" hidden="1"/>
    <col min="15874" max="15874" width="29.85546875" style="19" hidden="1"/>
    <col min="15875" max="15876" width="9.140625" style="19" hidden="1"/>
    <col min="15877" max="15877" width="15.42578125" style="19" hidden="1"/>
    <col min="15878" max="16126" width="9.140625" style="19" hidden="1"/>
    <col min="16127" max="16127" width="18.7109375" style="19" hidden="1"/>
    <col min="16128" max="16128" width="72" style="19" hidden="1"/>
    <col min="16129" max="16129" width="22.85546875" style="19" hidden="1"/>
    <col min="16130" max="16130" width="29.85546875" style="19" hidden="1"/>
    <col min="16131" max="16132" width="9.140625" style="19" hidden="1"/>
    <col min="16133" max="16135" width="15.42578125" style="19" hidden="1"/>
    <col min="16136" max="16384" width="9.140625" style="19" hidden="1"/>
  </cols>
  <sheetData>
    <row r="1" spans="1:7" x14ac:dyDescent="0.3">
      <c r="A1" s="392" t="s">
        <v>17</v>
      </c>
      <c r="B1" s="392"/>
      <c r="C1" s="392"/>
      <c r="D1" s="392"/>
      <c r="E1" s="18"/>
      <c r="F1" s="18"/>
      <c r="G1" s="18"/>
    </row>
    <row r="2" spans="1:7" x14ac:dyDescent="0.3">
      <c r="A2" s="393" t="s">
        <v>18</v>
      </c>
      <c r="B2" s="393"/>
      <c r="C2" s="394" t="s">
        <v>19</v>
      </c>
      <c r="D2" s="395"/>
      <c r="E2" s="18"/>
      <c r="F2" s="18"/>
      <c r="G2" s="18"/>
    </row>
    <row r="3" spans="1:7" x14ac:dyDescent="0.3">
      <c r="A3" s="393" t="s">
        <v>20</v>
      </c>
      <c r="B3" s="393"/>
      <c r="C3" s="396" t="s">
        <v>21</v>
      </c>
      <c r="D3" s="397"/>
      <c r="E3" s="18"/>
      <c r="F3" s="18"/>
      <c r="G3" s="18"/>
    </row>
    <row r="4" spans="1:7" x14ac:dyDescent="0.3">
      <c r="A4" s="379"/>
      <c r="B4" s="379"/>
      <c r="C4" s="379"/>
      <c r="D4" s="379"/>
      <c r="E4" s="18"/>
      <c r="F4" s="18"/>
      <c r="G4" s="18"/>
    </row>
    <row r="5" spans="1:7" x14ac:dyDescent="0.3">
      <c r="A5" s="379" t="s">
        <v>22</v>
      </c>
      <c r="B5" s="379"/>
      <c r="C5" s="379"/>
      <c r="D5" s="379"/>
      <c r="E5" s="18"/>
      <c r="F5" s="18"/>
      <c r="G5" s="18"/>
    </row>
    <row r="6" spans="1:7" x14ac:dyDescent="0.3">
      <c r="A6" s="125" t="s">
        <v>23</v>
      </c>
      <c r="B6" s="295" t="s">
        <v>24</v>
      </c>
      <c r="C6" s="380" t="s">
        <v>25</v>
      </c>
      <c r="D6" s="381"/>
      <c r="E6" s="18"/>
      <c r="F6" s="18"/>
      <c r="G6" s="18"/>
    </row>
    <row r="7" spans="1:7" x14ac:dyDescent="0.3">
      <c r="A7" s="125" t="s">
        <v>26</v>
      </c>
      <c r="B7" s="123" t="s">
        <v>27</v>
      </c>
      <c r="C7" s="371" t="s">
        <v>28</v>
      </c>
      <c r="D7" s="371"/>
      <c r="E7" s="18"/>
      <c r="F7" s="18"/>
      <c r="G7" s="18"/>
    </row>
    <row r="8" spans="1:7" x14ac:dyDescent="0.3">
      <c r="A8" s="20" t="s">
        <v>29</v>
      </c>
      <c r="B8" s="279" t="s">
        <v>30</v>
      </c>
      <c r="C8" s="382"/>
      <c r="D8" s="383"/>
      <c r="E8" s="18"/>
      <c r="F8" s="18"/>
      <c r="G8" s="18"/>
    </row>
    <row r="9" spans="1:7" x14ac:dyDescent="0.3">
      <c r="A9" s="125" t="s">
        <v>31</v>
      </c>
      <c r="B9" s="123" t="s">
        <v>32</v>
      </c>
      <c r="C9" s="374" t="s">
        <v>33</v>
      </c>
      <c r="D9" s="376"/>
      <c r="E9" s="18"/>
      <c r="F9" s="18"/>
      <c r="G9" s="18"/>
    </row>
    <row r="10" spans="1:7" x14ac:dyDescent="0.3">
      <c r="A10" s="125" t="s">
        <v>34</v>
      </c>
      <c r="B10" s="123" t="s">
        <v>35</v>
      </c>
      <c r="C10" s="374" t="s">
        <v>36</v>
      </c>
      <c r="D10" s="376"/>
      <c r="E10" s="18"/>
      <c r="F10" s="18"/>
      <c r="G10" s="18"/>
    </row>
    <row r="11" spans="1:7" x14ac:dyDescent="0.3">
      <c r="A11" s="125" t="s">
        <v>37</v>
      </c>
      <c r="B11" s="123" t="s">
        <v>38</v>
      </c>
      <c r="C11" s="384">
        <f>Proposta!F5</f>
        <v>1</v>
      </c>
      <c r="D11" s="385"/>
      <c r="E11" s="18"/>
      <c r="F11" s="18"/>
      <c r="G11" s="18"/>
    </row>
    <row r="12" spans="1:7" x14ac:dyDescent="0.3">
      <c r="A12" s="125" t="s">
        <v>39</v>
      </c>
      <c r="B12" s="123" t="s">
        <v>40</v>
      </c>
      <c r="C12" s="386">
        <f>Proposta!H5</f>
        <v>24</v>
      </c>
      <c r="D12" s="368"/>
      <c r="E12" s="18"/>
      <c r="F12" s="18"/>
      <c r="G12" s="18"/>
    </row>
    <row r="13" spans="1:7" x14ac:dyDescent="0.3">
      <c r="A13" s="387"/>
      <c r="B13" s="388"/>
      <c r="C13" s="388"/>
      <c r="D13" s="388"/>
      <c r="E13" s="18"/>
      <c r="F13" s="18"/>
      <c r="G13" s="18"/>
    </row>
    <row r="14" spans="1:7" x14ac:dyDescent="0.3">
      <c r="A14" s="389" t="s">
        <v>41</v>
      </c>
      <c r="B14" s="390"/>
      <c r="C14" s="390"/>
      <c r="D14" s="391"/>
      <c r="E14" s="18"/>
      <c r="F14" s="18"/>
      <c r="G14" s="18"/>
    </row>
    <row r="15" spans="1:7" x14ac:dyDescent="0.3">
      <c r="A15" s="371" t="s">
        <v>42</v>
      </c>
      <c r="B15" s="371"/>
      <c r="C15" s="371"/>
      <c r="D15" s="371"/>
      <c r="E15" s="18"/>
      <c r="F15" s="18"/>
      <c r="G15" s="18"/>
    </row>
    <row r="16" spans="1:7" x14ac:dyDescent="0.3">
      <c r="A16" s="125">
        <v>1</v>
      </c>
      <c r="B16" s="123" t="s">
        <v>43</v>
      </c>
      <c r="C16" s="374" t="s">
        <v>44</v>
      </c>
      <c r="D16" s="376" t="s">
        <v>44</v>
      </c>
      <c r="E16" s="18"/>
      <c r="F16" s="18"/>
      <c r="G16" s="18"/>
    </row>
    <row r="17" spans="1:7" x14ac:dyDescent="0.3">
      <c r="A17" s="125"/>
      <c r="B17" s="118" t="s">
        <v>45</v>
      </c>
      <c r="C17" s="367">
        <v>1</v>
      </c>
      <c r="D17" s="368">
        <v>1</v>
      </c>
      <c r="E17" s="18"/>
      <c r="F17" s="18"/>
      <c r="G17" s="18"/>
    </row>
    <row r="18" spans="1:7" x14ac:dyDescent="0.3">
      <c r="A18" s="125">
        <v>2</v>
      </c>
      <c r="B18" s="21" t="s">
        <v>46</v>
      </c>
      <c r="C18" s="369" t="s">
        <v>47</v>
      </c>
      <c r="D18" s="370"/>
      <c r="E18" s="18"/>
      <c r="F18" s="18"/>
      <c r="G18" s="18"/>
    </row>
    <row r="19" spans="1:7" x14ac:dyDescent="0.3">
      <c r="A19" s="371" t="s">
        <v>48</v>
      </c>
      <c r="B19" s="371"/>
      <c r="C19" s="371"/>
      <c r="D19" s="371"/>
      <c r="E19" s="18"/>
      <c r="F19" s="18"/>
      <c r="G19" s="18"/>
    </row>
    <row r="20" spans="1:7" x14ac:dyDescent="0.3">
      <c r="A20" s="125">
        <v>3</v>
      </c>
      <c r="B20" s="325" t="s">
        <v>49</v>
      </c>
      <c r="C20" s="326"/>
      <c r="D20" s="136">
        <v>1924</v>
      </c>
      <c r="E20" s="18"/>
      <c r="F20" s="18"/>
      <c r="G20" s="18"/>
    </row>
    <row r="21" spans="1:7" x14ac:dyDescent="0.3">
      <c r="A21" s="125">
        <v>4</v>
      </c>
      <c r="B21" s="325" t="s">
        <v>50</v>
      </c>
      <c r="C21" s="326"/>
      <c r="D21" s="137" t="s">
        <v>51</v>
      </c>
      <c r="E21" s="18"/>
      <c r="F21" s="18"/>
      <c r="G21" s="18"/>
    </row>
    <row r="22" spans="1:7" x14ac:dyDescent="0.3">
      <c r="A22" s="125">
        <v>5</v>
      </c>
      <c r="B22" s="372" t="s">
        <v>52</v>
      </c>
      <c r="C22" s="373"/>
      <c r="D22" s="138"/>
      <c r="E22" s="18"/>
      <c r="F22" s="18"/>
      <c r="G22" s="18"/>
    </row>
    <row r="23" spans="1:7" x14ac:dyDescent="0.3">
      <c r="A23" s="374"/>
      <c r="B23" s="375"/>
      <c r="C23" s="375"/>
      <c r="D23" s="376"/>
      <c r="E23" s="18"/>
      <c r="F23" s="18"/>
      <c r="G23" s="18"/>
    </row>
    <row r="24" spans="1:7" x14ac:dyDescent="0.3">
      <c r="A24" s="377" t="s">
        <v>53</v>
      </c>
      <c r="B24" s="377"/>
      <c r="C24" s="377"/>
      <c r="D24" s="377"/>
      <c r="E24" s="18"/>
      <c r="F24" s="18"/>
      <c r="G24" s="18"/>
    </row>
    <row r="25" spans="1:7" hidden="1" outlineLevel="1" x14ac:dyDescent="0.3">
      <c r="A25" s="367"/>
      <c r="B25" s="378"/>
      <c r="C25" s="378"/>
      <c r="D25" s="368"/>
      <c r="E25" s="18"/>
      <c r="F25" s="18"/>
      <c r="G25" s="18"/>
    </row>
    <row r="26" spans="1:7" hidden="1" outlineLevel="1" x14ac:dyDescent="0.3">
      <c r="A26" s="124">
        <v>1</v>
      </c>
      <c r="B26" s="327" t="s">
        <v>54</v>
      </c>
      <c r="C26" s="329"/>
      <c r="D26" s="124" t="s">
        <v>55</v>
      </c>
      <c r="E26" s="18"/>
      <c r="F26" s="18"/>
      <c r="G26" s="18"/>
    </row>
    <row r="27" spans="1:7" hidden="1" outlineLevel="1" x14ac:dyDescent="0.3">
      <c r="A27" s="125" t="s">
        <v>56</v>
      </c>
      <c r="B27" s="123" t="s">
        <v>57</v>
      </c>
      <c r="C27" s="132">
        <v>220</v>
      </c>
      <c r="D27" s="22">
        <f>D20/220*C27</f>
        <v>1924.0000000000002</v>
      </c>
      <c r="E27" s="18"/>
      <c r="F27" s="18"/>
      <c r="G27" s="18"/>
    </row>
    <row r="28" spans="1:7" hidden="1" outlineLevel="1" x14ac:dyDescent="0.3">
      <c r="A28" s="125" t="s">
        <v>26</v>
      </c>
      <c r="B28" s="123" t="s">
        <v>58</v>
      </c>
      <c r="C28" s="23">
        <v>0</v>
      </c>
      <c r="D28" s="22">
        <f>C28*D27</f>
        <v>0</v>
      </c>
      <c r="E28" s="18"/>
      <c r="F28" s="18"/>
      <c r="G28" s="18"/>
    </row>
    <row r="29" spans="1:7" hidden="1" outlineLevel="1" x14ac:dyDescent="0.3">
      <c r="A29" s="125" t="s">
        <v>29</v>
      </c>
      <c r="B29" s="123" t="s">
        <v>59</v>
      </c>
      <c r="C29" s="23">
        <v>0</v>
      </c>
      <c r="D29" s="22">
        <f>C29*D27</f>
        <v>0</v>
      </c>
      <c r="E29" s="18"/>
      <c r="F29" s="18"/>
      <c r="G29" s="18"/>
    </row>
    <row r="30" spans="1:7" hidden="1" outlineLevel="1" x14ac:dyDescent="0.3">
      <c r="A30" s="125" t="s">
        <v>31</v>
      </c>
      <c r="B30" s="123" t="s">
        <v>60</v>
      </c>
      <c r="C30" s="24">
        <v>0</v>
      </c>
      <c r="D30" s="25">
        <f>C30</f>
        <v>0</v>
      </c>
      <c r="E30" s="18"/>
      <c r="F30" s="18"/>
      <c r="G30" s="18"/>
    </row>
    <row r="31" spans="1:7" hidden="1" outlineLevel="1" x14ac:dyDescent="0.3">
      <c r="A31" s="125" t="s">
        <v>34</v>
      </c>
      <c r="B31" s="123" t="s">
        <v>61</v>
      </c>
      <c r="C31" s="23">
        <v>0</v>
      </c>
      <c r="D31" s="25">
        <f>C31*SUM(D27:D29)</f>
        <v>0</v>
      </c>
      <c r="E31" s="18"/>
      <c r="F31" s="18"/>
      <c r="G31" s="18"/>
    </row>
    <row r="32" spans="1:7" hidden="1" outlineLevel="1" x14ac:dyDescent="0.3">
      <c r="A32" s="125" t="s">
        <v>37</v>
      </c>
      <c r="B32" s="123" t="s">
        <v>62</v>
      </c>
      <c r="C32" s="24">
        <v>0</v>
      </c>
      <c r="D32" s="25">
        <f>(D20/C27)*C32</f>
        <v>0</v>
      </c>
      <c r="E32" s="18"/>
      <c r="F32" s="18"/>
      <c r="G32" s="18"/>
    </row>
    <row r="33" spans="1:7" hidden="1" outlineLevel="1" x14ac:dyDescent="0.3">
      <c r="A33" s="125" t="s">
        <v>39</v>
      </c>
      <c r="B33" s="74" t="s">
        <v>63</v>
      </c>
      <c r="C33" s="75">
        <v>0</v>
      </c>
      <c r="D33" s="76">
        <v>0</v>
      </c>
      <c r="E33" s="18"/>
      <c r="F33" s="18"/>
      <c r="G33" s="18"/>
    </row>
    <row r="34" spans="1:7" collapsed="1" x14ac:dyDescent="0.3">
      <c r="A34" s="327" t="s">
        <v>64</v>
      </c>
      <c r="B34" s="328"/>
      <c r="C34" s="329"/>
      <c r="D34" s="26">
        <f>SUM(D27:D33)</f>
        <v>1924.0000000000002</v>
      </c>
      <c r="E34" s="18"/>
      <c r="F34" s="18"/>
      <c r="G34" s="18"/>
    </row>
    <row r="35" spans="1:7" x14ac:dyDescent="0.3">
      <c r="A35" s="343"/>
      <c r="B35" s="343"/>
      <c r="C35" s="343"/>
      <c r="D35" s="343"/>
      <c r="E35" s="18"/>
      <c r="F35" s="18"/>
      <c r="G35" s="18"/>
    </row>
    <row r="36" spans="1:7" x14ac:dyDescent="0.3">
      <c r="A36" s="354" t="s">
        <v>65</v>
      </c>
      <c r="B36" s="355"/>
      <c r="C36" s="355"/>
      <c r="D36" s="356"/>
      <c r="E36" s="18"/>
      <c r="F36" s="18"/>
      <c r="G36" s="18"/>
    </row>
    <row r="37" spans="1:7" hidden="1" outlineLevel="1" x14ac:dyDescent="0.3">
      <c r="A37" s="335"/>
      <c r="B37" s="336"/>
      <c r="C37" s="336"/>
      <c r="D37" s="337"/>
      <c r="E37" s="18"/>
      <c r="F37" s="18"/>
      <c r="G37" s="18"/>
    </row>
    <row r="38" spans="1:7" hidden="1" outlineLevel="1" x14ac:dyDescent="0.3">
      <c r="A38" s="27" t="s">
        <v>66</v>
      </c>
      <c r="B38" s="28" t="s">
        <v>67</v>
      </c>
      <c r="C38" s="27" t="s">
        <v>68</v>
      </c>
      <c r="D38" s="27" t="s">
        <v>55</v>
      </c>
      <c r="E38" s="18"/>
      <c r="F38" s="18"/>
      <c r="G38" s="18"/>
    </row>
    <row r="39" spans="1:7" hidden="1" outlineLevel="2" x14ac:dyDescent="0.3">
      <c r="A39" s="29" t="s">
        <v>56</v>
      </c>
      <c r="B39" s="30" t="s">
        <v>69</v>
      </c>
      <c r="C39" s="31">
        <f>1/12</f>
        <v>8.3333333333333329E-2</v>
      </c>
      <c r="D39" s="22">
        <f>C39*D34</f>
        <v>160.33333333333334</v>
      </c>
      <c r="E39" s="18"/>
      <c r="F39" s="18"/>
      <c r="G39" s="18"/>
    </row>
    <row r="40" spans="1:7" hidden="1" outlineLevel="2" x14ac:dyDescent="0.3">
      <c r="A40" s="29" t="s">
        <v>26</v>
      </c>
      <c r="B40" s="30" t="s">
        <v>70</v>
      </c>
      <c r="C40" s="31">
        <f>IF(C12&gt;60,(1/C12/3)*5,IF(C12&gt;48,(1/C12/3)*4,IF(C12&gt;36,(1/C12/3)*3,IF(C12&gt;24,(1/C12/3)*2,IF(C12&gt;12,(1/C12/3)*1,0)))))</f>
        <v>1.3888888888888888E-2</v>
      </c>
      <c r="D40" s="22">
        <f>C40*D34</f>
        <v>26.722222222222225</v>
      </c>
      <c r="E40" s="18"/>
      <c r="F40" s="18"/>
      <c r="G40" s="18"/>
    </row>
    <row r="41" spans="1:7" hidden="1" outlineLevel="2" x14ac:dyDescent="0.3">
      <c r="A41" s="32" t="s">
        <v>71</v>
      </c>
      <c r="B41" s="30" t="s">
        <v>72</v>
      </c>
      <c r="C41" s="128">
        <v>0</v>
      </c>
      <c r="D41" s="96">
        <f>-D40*(1/3)*(C41)</f>
        <v>0</v>
      </c>
      <c r="E41" s="18"/>
      <c r="F41" s="18"/>
      <c r="G41" s="18"/>
    </row>
    <row r="42" spans="1:7" hidden="1" outlineLevel="1" collapsed="1" x14ac:dyDescent="0.3">
      <c r="A42" s="339" t="s">
        <v>73</v>
      </c>
      <c r="B42" s="341"/>
      <c r="C42" s="33">
        <f>SUM(C39:C40)</f>
        <v>9.722222222222221E-2</v>
      </c>
      <c r="D42" s="34">
        <f>SUM(D39:D41)</f>
        <v>187.05555555555557</v>
      </c>
      <c r="E42" s="18"/>
      <c r="F42" s="18"/>
      <c r="G42" s="18"/>
    </row>
    <row r="43" spans="1:7" hidden="1" outlineLevel="1" x14ac:dyDescent="0.3">
      <c r="A43" s="335"/>
      <c r="B43" s="336"/>
      <c r="C43" s="336"/>
      <c r="D43" s="337"/>
      <c r="E43" s="18"/>
      <c r="F43" s="18"/>
      <c r="G43" s="18"/>
    </row>
    <row r="44" spans="1:7" hidden="1" outlineLevel="1" x14ac:dyDescent="0.3">
      <c r="A44" s="27" t="s">
        <v>74</v>
      </c>
      <c r="B44" s="35" t="s">
        <v>75</v>
      </c>
      <c r="C44" s="27" t="s">
        <v>68</v>
      </c>
      <c r="D44" s="36" t="s">
        <v>55</v>
      </c>
      <c r="E44" s="18"/>
      <c r="F44" s="18"/>
      <c r="G44" s="18"/>
    </row>
    <row r="45" spans="1:7" hidden="1" outlineLevel="2" x14ac:dyDescent="0.3">
      <c r="A45" s="122" t="s">
        <v>56</v>
      </c>
      <c r="B45" s="37" t="s">
        <v>76</v>
      </c>
      <c r="C45" s="38">
        <v>0.2</v>
      </c>
      <c r="D45" s="22">
        <f>C45*($D$34+$D$42)</f>
        <v>422.21111111111117</v>
      </c>
      <c r="E45" s="18"/>
      <c r="F45" s="18"/>
      <c r="G45" s="18"/>
    </row>
    <row r="46" spans="1:7" hidden="1" outlineLevel="2" x14ac:dyDescent="0.3">
      <c r="A46" s="122" t="s">
        <v>26</v>
      </c>
      <c r="B46" s="37" t="s">
        <v>77</v>
      </c>
      <c r="C46" s="38">
        <v>2.5000000000000001E-2</v>
      </c>
      <c r="D46" s="22">
        <f t="shared" ref="D46:D52" si="0">C46*($D$34+$D$42)</f>
        <v>52.776388888888896</v>
      </c>
      <c r="E46" s="18"/>
      <c r="F46" s="18"/>
      <c r="G46" s="18"/>
    </row>
    <row r="47" spans="1:7" hidden="1" outlineLevel="2" x14ac:dyDescent="0.3">
      <c r="A47" s="122" t="s">
        <v>29</v>
      </c>
      <c r="B47" s="37" t="s">
        <v>78</v>
      </c>
      <c r="C47" s="127">
        <v>0.03</v>
      </c>
      <c r="D47" s="22">
        <f t="shared" si="0"/>
        <v>63.331666666666671</v>
      </c>
      <c r="E47" s="18"/>
      <c r="F47" s="18"/>
      <c r="G47" s="18"/>
    </row>
    <row r="48" spans="1:7" hidden="1" outlineLevel="2" x14ac:dyDescent="0.3">
      <c r="A48" s="122" t="s">
        <v>31</v>
      </c>
      <c r="B48" s="37" t="s">
        <v>79</v>
      </c>
      <c r="C48" s="38">
        <v>1.4999999999999999E-2</v>
      </c>
      <c r="D48" s="22">
        <f t="shared" si="0"/>
        <v>31.665833333333335</v>
      </c>
      <c r="E48" s="18"/>
      <c r="F48" s="18"/>
      <c r="G48" s="18"/>
    </row>
    <row r="49" spans="1:7" hidden="1" outlineLevel="2" x14ac:dyDescent="0.3">
      <c r="A49" s="122" t="s">
        <v>34</v>
      </c>
      <c r="B49" s="37" t="s">
        <v>80</v>
      </c>
      <c r="C49" s="38">
        <v>0.01</v>
      </c>
      <c r="D49" s="22">
        <f>C49*($D$34+$D$42)</f>
        <v>21.110555555555557</v>
      </c>
      <c r="E49" s="18"/>
      <c r="F49" s="18"/>
      <c r="G49" s="18"/>
    </row>
    <row r="50" spans="1:7" hidden="1" outlineLevel="2" x14ac:dyDescent="0.3">
      <c r="A50" s="122" t="s">
        <v>37</v>
      </c>
      <c r="B50" s="37" t="s">
        <v>81</v>
      </c>
      <c r="C50" s="38">
        <v>6.0000000000000001E-3</v>
      </c>
      <c r="D50" s="22">
        <f>C50*($D$34+$D$42)</f>
        <v>12.666333333333334</v>
      </c>
      <c r="E50" s="18"/>
      <c r="F50" s="18"/>
      <c r="G50" s="18"/>
    </row>
    <row r="51" spans="1:7" hidden="1" outlineLevel="2" x14ac:dyDescent="0.3">
      <c r="A51" s="122" t="s">
        <v>39</v>
      </c>
      <c r="B51" s="37" t="s">
        <v>82</v>
      </c>
      <c r="C51" s="38">
        <v>2E-3</v>
      </c>
      <c r="D51" s="22">
        <f t="shared" si="0"/>
        <v>4.2221111111111114</v>
      </c>
      <c r="E51" s="18"/>
      <c r="F51" s="18"/>
      <c r="G51" s="18"/>
    </row>
    <row r="52" spans="1:7" hidden="1" outlineLevel="2" x14ac:dyDescent="0.3">
      <c r="A52" s="122" t="s">
        <v>83</v>
      </c>
      <c r="B52" s="37" t="s">
        <v>84</v>
      </c>
      <c r="C52" s="38">
        <v>0.08</v>
      </c>
      <c r="D52" s="22">
        <f t="shared" si="0"/>
        <v>168.88444444444445</v>
      </c>
      <c r="E52" s="18"/>
      <c r="F52" s="18"/>
      <c r="G52" s="18"/>
    </row>
    <row r="53" spans="1:7" hidden="1" outlineLevel="1" collapsed="1" x14ac:dyDescent="0.3">
      <c r="A53" s="339" t="s">
        <v>73</v>
      </c>
      <c r="B53" s="341"/>
      <c r="C53" s="39">
        <f>SUM(C45:C52)</f>
        <v>0.36800000000000005</v>
      </c>
      <c r="D53" s="40">
        <f>SUM(D45:D52)</f>
        <v>776.86844444444455</v>
      </c>
      <c r="E53" s="18"/>
      <c r="F53" s="18"/>
      <c r="G53" s="18"/>
    </row>
    <row r="54" spans="1:7" hidden="1" outlineLevel="1" x14ac:dyDescent="0.3">
      <c r="A54" s="335"/>
      <c r="B54" s="336"/>
      <c r="C54" s="336"/>
      <c r="D54" s="337"/>
      <c r="E54" s="18"/>
      <c r="F54" s="18"/>
      <c r="G54" s="18"/>
    </row>
    <row r="55" spans="1:7" hidden="1" outlineLevel="1" x14ac:dyDescent="0.3">
      <c r="A55" s="27" t="s">
        <v>85</v>
      </c>
      <c r="B55" s="35" t="s">
        <v>86</v>
      </c>
      <c r="C55" s="27" t="s">
        <v>87</v>
      </c>
      <c r="D55" s="27" t="s">
        <v>55</v>
      </c>
      <c r="E55" s="18"/>
      <c r="F55" s="18"/>
      <c r="G55" s="18"/>
    </row>
    <row r="56" spans="1:7" hidden="1" outlineLevel="2" x14ac:dyDescent="0.3">
      <c r="A56" s="122" t="s">
        <v>56</v>
      </c>
      <c r="B56" s="37" t="s">
        <v>88</v>
      </c>
      <c r="C56" s="41">
        <v>3.99</v>
      </c>
      <c r="D56" s="42">
        <f>(21*2*C56)-(D27*6%)</f>
        <v>52.14</v>
      </c>
      <c r="E56" s="72"/>
      <c r="F56" s="18"/>
      <c r="G56" s="18"/>
    </row>
    <row r="57" spans="1:7" hidden="1" outlineLevel="2" x14ac:dyDescent="0.3">
      <c r="A57" s="122" t="s">
        <v>26</v>
      </c>
      <c r="B57" s="37" t="s">
        <v>89</v>
      </c>
      <c r="C57" s="73">
        <v>21.9</v>
      </c>
      <c r="D57" s="42">
        <f>21*C57</f>
        <v>459.9</v>
      </c>
      <c r="E57" s="18"/>
      <c r="F57" s="18"/>
      <c r="G57" s="18"/>
    </row>
    <row r="58" spans="1:7" hidden="1" outlineLevel="2" x14ac:dyDescent="0.3">
      <c r="A58" s="69" t="s">
        <v>90</v>
      </c>
      <c r="B58" s="280" t="s">
        <v>91</v>
      </c>
      <c r="C58" s="281">
        <v>-0.01</v>
      </c>
      <c r="D58" s="282">
        <f>D57*C58</f>
        <v>-4.5990000000000002</v>
      </c>
      <c r="E58" s="18"/>
      <c r="F58" s="18"/>
      <c r="G58" s="18"/>
    </row>
    <row r="59" spans="1:7" hidden="1" outlineLevel="2" x14ac:dyDescent="0.3">
      <c r="A59" s="122" t="s">
        <v>29</v>
      </c>
      <c r="B59" s="139" t="s">
        <v>92</v>
      </c>
      <c r="C59" s="73">
        <v>14</v>
      </c>
      <c r="D59" s="140">
        <f>C59</f>
        <v>14</v>
      </c>
      <c r="E59" s="18"/>
      <c r="F59" s="18"/>
      <c r="G59" s="18"/>
    </row>
    <row r="60" spans="1:7" hidden="1" outlineLevel="2" x14ac:dyDescent="0.3">
      <c r="A60" s="122" t="s">
        <v>31</v>
      </c>
      <c r="B60" s="141" t="s">
        <v>93</v>
      </c>
      <c r="C60" s="73">
        <v>0</v>
      </c>
      <c r="D60" s="140">
        <f>C60</f>
        <v>0</v>
      </c>
      <c r="E60" s="18"/>
      <c r="F60" s="18"/>
      <c r="G60" s="18"/>
    </row>
    <row r="61" spans="1:7" hidden="1" outlineLevel="2" x14ac:dyDescent="0.3">
      <c r="A61" s="122" t="s">
        <v>34</v>
      </c>
      <c r="B61" s="139" t="s">
        <v>94</v>
      </c>
      <c r="C61" s="133">
        <v>0</v>
      </c>
      <c r="D61" s="140">
        <f>C61*D34</f>
        <v>0</v>
      </c>
      <c r="E61" s="18"/>
      <c r="F61" s="18"/>
      <c r="G61" s="18"/>
    </row>
    <row r="62" spans="1:7" hidden="1" outlineLevel="2" x14ac:dyDescent="0.3">
      <c r="A62" s="122" t="s">
        <v>37</v>
      </c>
      <c r="B62" s="139" t="s">
        <v>95</v>
      </c>
      <c r="C62" s="133">
        <v>0</v>
      </c>
      <c r="D62" s="140"/>
      <c r="E62" s="18"/>
      <c r="F62" s="18"/>
      <c r="G62" s="18"/>
    </row>
    <row r="63" spans="1:7" hidden="1" outlineLevel="2" x14ac:dyDescent="0.3">
      <c r="A63" s="122" t="s">
        <v>39</v>
      </c>
      <c r="B63" s="139" t="s">
        <v>63</v>
      </c>
      <c r="C63" s="73"/>
      <c r="D63" s="142">
        <f>C63</f>
        <v>0</v>
      </c>
      <c r="E63" s="18"/>
      <c r="F63" s="18"/>
      <c r="G63" s="18"/>
    </row>
    <row r="64" spans="1:7" hidden="1" outlineLevel="1" collapsed="1" x14ac:dyDescent="0.3">
      <c r="A64" s="339" t="s">
        <v>96</v>
      </c>
      <c r="B64" s="340"/>
      <c r="C64" s="341"/>
      <c r="D64" s="34">
        <f>SUM(D56:D63)</f>
        <v>521.44100000000003</v>
      </c>
      <c r="E64" s="18"/>
      <c r="F64" s="18"/>
      <c r="G64" s="18"/>
    </row>
    <row r="65" spans="1:7" hidden="1" outlineLevel="1" x14ac:dyDescent="0.3">
      <c r="A65" s="335"/>
      <c r="B65" s="336"/>
      <c r="C65" s="336"/>
      <c r="D65" s="337"/>
      <c r="E65" s="18"/>
      <c r="F65" s="18"/>
      <c r="G65" s="18"/>
    </row>
    <row r="66" spans="1:7" hidden="1" outlineLevel="1" x14ac:dyDescent="0.3">
      <c r="A66" s="357" t="s">
        <v>97</v>
      </c>
      <c r="B66" s="358"/>
      <c r="C66" s="27" t="s">
        <v>68</v>
      </c>
      <c r="D66" s="27" t="s">
        <v>55</v>
      </c>
      <c r="E66" s="18"/>
      <c r="F66" s="18"/>
      <c r="G66" s="18"/>
    </row>
    <row r="67" spans="1:7" hidden="1" outlineLevel="1" x14ac:dyDescent="0.3">
      <c r="A67" s="122" t="s">
        <v>98</v>
      </c>
      <c r="B67" s="37" t="s">
        <v>67</v>
      </c>
      <c r="C67" s="43">
        <f>C42</f>
        <v>9.722222222222221E-2</v>
      </c>
      <c r="D67" s="22">
        <f>D42</f>
        <v>187.05555555555557</v>
      </c>
      <c r="E67" s="18"/>
      <c r="F67" s="18"/>
      <c r="G67" s="18"/>
    </row>
    <row r="68" spans="1:7" hidden="1" outlineLevel="1" x14ac:dyDescent="0.3">
      <c r="A68" s="122" t="s">
        <v>74</v>
      </c>
      <c r="B68" s="37" t="s">
        <v>75</v>
      </c>
      <c r="C68" s="43">
        <f>C53</f>
        <v>0.36800000000000005</v>
      </c>
      <c r="D68" s="22">
        <f>D53</f>
        <v>776.86844444444455</v>
      </c>
      <c r="E68" s="18"/>
      <c r="F68" s="18"/>
      <c r="G68" s="18"/>
    </row>
    <row r="69" spans="1:7" hidden="1" outlineLevel="1" x14ac:dyDescent="0.3">
      <c r="A69" s="122" t="s">
        <v>99</v>
      </c>
      <c r="B69" s="37" t="s">
        <v>86</v>
      </c>
      <c r="C69" s="43">
        <f>D64/D34</f>
        <v>0.27101923076923073</v>
      </c>
      <c r="D69" s="22">
        <f>D64</f>
        <v>521.44100000000003</v>
      </c>
      <c r="E69" s="18"/>
      <c r="F69" s="18"/>
      <c r="G69" s="18"/>
    </row>
    <row r="70" spans="1:7" collapsed="1" x14ac:dyDescent="0.3">
      <c r="A70" s="339" t="s">
        <v>73</v>
      </c>
      <c r="B70" s="340"/>
      <c r="C70" s="341"/>
      <c r="D70" s="34">
        <f>SUM(D67:D69)</f>
        <v>1485.3650000000002</v>
      </c>
      <c r="E70" s="18"/>
      <c r="F70" s="18"/>
      <c r="G70" s="18"/>
    </row>
    <row r="71" spans="1:7" x14ac:dyDescent="0.3">
      <c r="A71" s="335"/>
      <c r="B71" s="336"/>
      <c r="C71" s="336"/>
      <c r="D71" s="337"/>
      <c r="E71" s="18"/>
      <c r="F71" s="18"/>
      <c r="G71" s="18"/>
    </row>
    <row r="72" spans="1:7" x14ac:dyDescent="0.3">
      <c r="A72" s="364" t="s">
        <v>100</v>
      </c>
      <c r="B72" s="365"/>
      <c r="C72" s="365"/>
      <c r="D72" s="366"/>
      <c r="E72" s="18"/>
      <c r="F72" s="18"/>
      <c r="G72" s="18"/>
    </row>
    <row r="73" spans="1:7" hidden="1" outlineLevel="1" x14ac:dyDescent="0.3">
      <c r="A73" s="335"/>
      <c r="B73" s="336"/>
      <c r="C73" s="336"/>
      <c r="D73" s="337"/>
      <c r="E73" s="18"/>
      <c r="F73" s="18"/>
      <c r="G73" s="18"/>
    </row>
    <row r="74" spans="1:7" hidden="1" outlineLevel="1" x14ac:dyDescent="0.3">
      <c r="A74" s="124" t="s">
        <v>101</v>
      </c>
      <c r="B74" s="28" t="s">
        <v>102</v>
      </c>
      <c r="C74" s="27" t="s">
        <v>68</v>
      </c>
      <c r="D74" s="27" t="s">
        <v>55</v>
      </c>
      <c r="E74" s="18"/>
      <c r="F74" s="18"/>
      <c r="G74" s="18"/>
    </row>
    <row r="75" spans="1:7" hidden="1" outlineLevel="2" x14ac:dyDescent="0.3">
      <c r="A75" s="44" t="s">
        <v>56</v>
      </c>
      <c r="B75" s="45" t="s">
        <v>103</v>
      </c>
      <c r="C75" s="44" t="s">
        <v>104</v>
      </c>
      <c r="D75" s="46">
        <f>IF(C86&gt;1,SUM(D76:D79)*2,SUM(D76:D79))</f>
        <v>2711.3435555555561</v>
      </c>
      <c r="E75" s="18"/>
      <c r="F75" s="18"/>
      <c r="G75" s="18"/>
    </row>
    <row r="76" spans="1:7" hidden="1" outlineLevel="3" x14ac:dyDescent="0.3">
      <c r="A76" s="47" t="s">
        <v>105</v>
      </c>
      <c r="B76" s="48" t="s">
        <v>106</v>
      </c>
      <c r="C76" s="44">
        <f>(IF(C12&gt;60,45,IF(C12&gt;48,42,IF(C12&gt;36,39,IF(C12&gt;24,36,IF(C12&gt;12,33,30)))))/30)</f>
        <v>1.1000000000000001</v>
      </c>
      <c r="D76" s="46">
        <f>D34*C76</f>
        <v>2116.4000000000005</v>
      </c>
      <c r="E76" s="18"/>
      <c r="F76" s="18"/>
      <c r="G76" s="18"/>
    </row>
    <row r="77" spans="1:7" hidden="1" outlineLevel="3" x14ac:dyDescent="0.3">
      <c r="A77" s="47" t="s">
        <v>107</v>
      </c>
      <c r="B77" s="48" t="s">
        <v>108</v>
      </c>
      <c r="C77" s="31">
        <f>1/12</f>
        <v>8.3333333333333329E-2</v>
      </c>
      <c r="D77" s="46">
        <f>C77*D76</f>
        <v>176.3666666666667</v>
      </c>
      <c r="E77" s="18"/>
      <c r="F77" s="18"/>
      <c r="G77" s="18"/>
    </row>
    <row r="78" spans="1:7" hidden="1" outlineLevel="3" x14ac:dyDescent="0.3">
      <c r="A78" s="47" t="s">
        <v>109</v>
      </c>
      <c r="B78" s="48" t="s">
        <v>110</v>
      </c>
      <c r="C78" s="31">
        <f>(1/12)+(1/12/3)</f>
        <v>0.1111111111111111</v>
      </c>
      <c r="D78" s="49">
        <f>C78*D76</f>
        <v>235.15555555555559</v>
      </c>
      <c r="E78" s="18"/>
      <c r="F78" s="18"/>
      <c r="G78" s="18"/>
    </row>
    <row r="79" spans="1:7" hidden="1" outlineLevel="3" x14ac:dyDescent="0.3">
      <c r="A79" s="47" t="s">
        <v>111</v>
      </c>
      <c r="B79" s="48" t="s">
        <v>112</v>
      </c>
      <c r="C79" s="50">
        <v>0.08</v>
      </c>
      <c r="D79" s="46">
        <f>SUM(D76:D77)*C79</f>
        <v>183.42133333333339</v>
      </c>
      <c r="E79" s="18"/>
      <c r="F79" s="18"/>
      <c r="G79" s="18"/>
    </row>
    <row r="80" spans="1:7" hidden="1" outlineLevel="2" collapsed="1" x14ac:dyDescent="0.3">
      <c r="A80" s="44" t="s">
        <v>26</v>
      </c>
      <c r="B80" s="45" t="s">
        <v>113</v>
      </c>
      <c r="C80" s="51">
        <v>0.4</v>
      </c>
      <c r="D80" s="46">
        <f>C80*D81</f>
        <v>1621.2906666666668</v>
      </c>
      <c r="E80" s="18"/>
      <c r="F80" s="18"/>
      <c r="G80" s="18"/>
    </row>
    <row r="81" spans="1:7" hidden="1" outlineLevel="3" x14ac:dyDescent="0.3">
      <c r="A81" s="44" t="s">
        <v>71</v>
      </c>
      <c r="B81" s="45" t="s">
        <v>114</v>
      </c>
      <c r="C81" s="51">
        <f>C52</f>
        <v>0.08</v>
      </c>
      <c r="D81" s="46">
        <f>C81*D82</f>
        <v>4053.2266666666669</v>
      </c>
      <c r="E81" s="18"/>
      <c r="F81" s="18"/>
      <c r="G81" s="18"/>
    </row>
    <row r="82" spans="1:7" hidden="1" outlineLevel="3" x14ac:dyDescent="0.3">
      <c r="A82" s="44" t="s">
        <v>115</v>
      </c>
      <c r="B82" s="52" t="s">
        <v>116</v>
      </c>
      <c r="C82" s="53" t="s">
        <v>104</v>
      </c>
      <c r="D82" s="49">
        <f>SUM(D83:D85)</f>
        <v>50665.333333333336</v>
      </c>
      <c r="E82" s="18"/>
      <c r="F82" s="18"/>
      <c r="G82" s="18"/>
    </row>
    <row r="83" spans="1:7" hidden="1" outlineLevel="3" x14ac:dyDescent="0.3">
      <c r="A83" s="47" t="s">
        <v>117</v>
      </c>
      <c r="B83" s="48" t="s">
        <v>118</v>
      </c>
      <c r="C83" s="54">
        <f>C12-C85</f>
        <v>23</v>
      </c>
      <c r="D83" s="46">
        <f>D34*C83</f>
        <v>44252.000000000007</v>
      </c>
      <c r="E83" s="18"/>
      <c r="F83" s="18"/>
      <c r="G83" s="18"/>
    </row>
    <row r="84" spans="1:7" hidden="1" outlineLevel="3" x14ac:dyDescent="0.3">
      <c r="A84" s="47" t="s">
        <v>119</v>
      </c>
      <c r="B84" s="48" t="s">
        <v>120</v>
      </c>
      <c r="C84" s="55">
        <f>C12/12</f>
        <v>2</v>
      </c>
      <c r="D84" s="46">
        <f>D34*C84</f>
        <v>3848.0000000000005</v>
      </c>
      <c r="E84" s="18"/>
      <c r="F84" s="18"/>
      <c r="G84" s="18"/>
    </row>
    <row r="85" spans="1:7" hidden="1" outlineLevel="3" x14ac:dyDescent="0.3">
      <c r="A85" s="47" t="s">
        <v>121</v>
      </c>
      <c r="B85" s="48" t="s">
        <v>122</v>
      </c>
      <c r="C85" s="53">
        <f>IF(C12&gt;60,5,IF(C12&gt;48,4,IF(C12&gt;36,3,IF(C12&gt;24,2,IF(C12&gt;12,1,0)))))</f>
        <v>1</v>
      </c>
      <c r="D85" s="49">
        <f>D34*C85*1.33333333333333</f>
        <v>2565.3333333333271</v>
      </c>
      <c r="E85" s="18"/>
      <c r="F85" s="18"/>
      <c r="G85" s="18"/>
    </row>
    <row r="86" spans="1:7" hidden="1" outlineLevel="1" collapsed="1" x14ac:dyDescent="0.3">
      <c r="A86" s="339" t="s">
        <v>73</v>
      </c>
      <c r="B86" s="341"/>
      <c r="C86" s="129">
        <v>0.1</v>
      </c>
      <c r="D86" s="34">
        <f>IF(C86&gt;1,D75+D80,(D75+D80)*C86)</f>
        <v>433.26342222222229</v>
      </c>
      <c r="E86" s="18"/>
      <c r="F86" s="18"/>
      <c r="G86" s="18"/>
    </row>
    <row r="87" spans="1:7" hidden="1" outlineLevel="1" x14ac:dyDescent="0.3">
      <c r="A87" s="351"/>
      <c r="B87" s="352"/>
      <c r="C87" s="352"/>
      <c r="D87" s="353"/>
      <c r="E87" s="18"/>
      <c r="F87" s="18"/>
      <c r="G87" s="18"/>
    </row>
    <row r="88" spans="1:7" hidden="1" outlineLevel="1" x14ac:dyDescent="0.3">
      <c r="A88" s="124" t="s">
        <v>123</v>
      </c>
      <c r="B88" s="28" t="s">
        <v>124</v>
      </c>
      <c r="C88" s="27" t="s">
        <v>68</v>
      </c>
      <c r="D88" s="27" t="s">
        <v>55</v>
      </c>
      <c r="E88" s="18"/>
      <c r="F88" s="18"/>
      <c r="G88" s="18"/>
    </row>
    <row r="89" spans="1:7" hidden="1" outlineLevel="2" x14ac:dyDescent="0.3">
      <c r="A89" s="44" t="s">
        <v>56</v>
      </c>
      <c r="B89" s="52" t="s">
        <v>125</v>
      </c>
      <c r="C89" s="56">
        <f>IF(C98&gt;1,(1/30*7)*2,(1/30*7))</f>
        <v>0.23333333333333334</v>
      </c>
      <c r="D89" s="49">
        <f>C89*SUM(D90:D94)</f>
        <v>836.87024814814833</v>
      </c>
      <c r="E89" s="18"/>
      <c r="F89" s="18"/>
      <c r="G89" s="18"/>
    </row>
    <row r="90" spans="1:7" hidden="1" outlineLevel="3" x14ac:dyDescent="0.3">
      <c r="A90" s="47" t="s">
        <v>105</v>
      </c>
      <c r="B90" s="48" t="s">
        <v>126</v>
      </c>
      <c r="C90" s="44">
        <v>1</v>
      </c>
      <c r="D90" s="46">
        <f>D34</f>
        <v>1924.0000000000002</v>
      </c>
      <c r="E90" s="18"/>
      <c r="F90" s="18"/>
      <c r="G90" s="18"/>
    </row>
    <row r="91" spans="1:7" hidden="1" outlineLevel="3" x14ac:dyDescent="0.3">
      <c r="A91" s="47" t="s">
        <v>107</v>
      </c>
      <c r="B91" s="48" t="s">
        <v>127</v>
      </c>
      <c r="C91" s="31">
        <f>1/12</f>
        <v>8.3333333333333329E-2</v>
      </c>
      <c r="D91" s="46">
        <f>C91*D90</f>
        <v>160.33333333333334</v>
      </c>
      <c r="E91" s="18"/>
      <c r="F91" s="18"/>
      <c r="G91" s="18"/>
    </row>
    <row r="92" spans="1:7" hidden="1" outlineLevel="3" x14ac:dyDescent="0.3">
      <c r="A92" s="47" t="s">
        <v>109</v>
      </c>
      <c r="B92" s="48" t="s">
        <v>128</v>
      </c>
      <c r="C92" s="31">
        <f>(1/12)+(1/12/3)</f>
        <v>0.1111111111111111</v>
      </c>
      <c r="D92" s="46">
        <f>C92*D90</f>
        <v>213.7777777777778</v>
      </c>
      <c r="E92" s="18"/>
      <c r="F92" s="18"/>
      <c r="G92" s="18"/>
    </row>
    <row r="93" spans="1:7" hidden="1" outlineLevel="3" x14ac:dyDescent="0.3">
      <c r="A93" s="47" t="s">
        <v>111</v>
      </c>
      <c r="B93" s="57" t="s">
        <v>129</v>
      </c>
      <c r="C93" s="58">
        <f>C53</f>
        <v>0.36800000000000005</v>
      </c>
      <c r="D93" s="49">
        <f>C93*(D90+D91)</f>
        <v>767.03466666666679</v>
      </c>
      <c r="E93" s="18"/>
      <c r="F93" s="18"/>
      <c r="G93" s="18"/>
    </row>
    <row r="94" spans="1:7" hidden="1" outlineLevel="3" x14ac:dyDescent="0.3">
      <c r="A94" s="47" t="s">
        <v>130</v>
      </c>
      <c r="B94" s="57" t="s">
        <v>131</v>
      </c>
      <c r="C94" s="53">
        <v>1</v>
      </c>
      <c r="D94" s="49">
        <f>D64</f>
        <v>521.44100000000003</v>
      </c>
      <c r="E94" s="18"/>
      <c r="F94" s="18"/>
      <c r="G94" s="18"/>
    </row>
    <row r="95" spans="1:7" hidden="1" outlineLevel="2" collapsed="1" x14ac:dyDescent="0.3">
      <c r="A95" s="44" t="s">
        <v>26</v>
      </c>
      <c r="B95" s="45" t="s">
        <v>132</v>
      </c>
      <c r="C95" s="51">
        <v>0.4</v>
      </c>
      <c r="D95" s="46">
        <f>C95*D96</f>
        <v>1621.2906666666668</v>
      </c>
      <c r="E95" s="59"/>
      <c r="F95" s="18"/>
      <c r="G95" s="18"/>
    </row>
    <row r="96" spans="1:7" hidden="1" outlineLevel="3" x14ac:dyDescent="0.3">
      <c r="A96" s="44" t="s">
        <v>71</v>
      </c>
      <c r="B96" s="45" t="s">
        <v>114</v>
      </c>
      <c r="C96" s="51">
        <f>C52</f>
        <v>0.08</v>
      </c>
      <c r="D96" s="46">
        <f>C96*D97</f>
        <v>4053.2266666666669</v>
      </c>
      <c r="E96" s="18"/>
      <c r="F96" s="18"/>
      <c r="G96" s="18"/>
    </row>
    <row r="97" spans="1:7" hidden="1" outlineLevel="3" x14ac:dyDescent="0.3">
      <c r="A97" s="44" t="s">
        <v>115</v>
      </c>
      <c r="B97" s="52" t="s">
        <v>116</v>
      </c>
      <c r="C97" s="53" t="s">
        <v>104</v>
      </c>
      <c r="D97" s="49">
        <f>D82</f>
        <v>50665.333333333336</v>
      </c>
      <c r="E97" s="18"/>
      <c r="F97" s="18"/>
      <c r="G97" s="18"/>
    </row>
    <row r="98" spans="1:7" hidden="1" outlineLevel="1" collapsed="1" x14ac:dyDescent="0.3">
      <c r="A98" s="339" t="s">
        <v>73</v>
      </c>
      <c r="B98" s="341"/>
      <c r="C98" s="129">
        <v>0.9</v>
      </c>
      <c r="D98" s="34">
        <f>IF(C98&gt;1,D89+D95,(D89+D95)*C98)</f>
        <v>2212.3448233333334</v>
      </c>
      <c r="E98" s="18"/>
      <c r="F98" s="18"/>
      <c r="G98" s="18"/>
    </row>
    <row r="99" spans="1:7" hidden="1" outlineLevel="1" x14ac:dyDescent="0.3">
      <c r="A99" s="351"/>
      <c r="B99" s="352"/>
      <c r="C99" s="352"/>
      <c r="D99" s="353"/>
      <c r="E99" s="18"/>
      <c r="F99" s="18"/>
      <c r="G99" s="18"/>
    </row>
    <row r="100" spans="1:7" hidden="1" outlineLevel="1" x14ac:dyDescent="0.3">
      <c r="A100" s="124" t="s">
        <v>133</v>
      </c>
      <c r="B100" s="28" t="s">
        <v>134</v>
      </c>
      <c r="C100" s="27" t="s">
        <v>68</v>
      </c>
      <c r="D100" s="27" t="s">
        <v>55</v>
      </c>
      <c r="E100" s="18"/>
      <c r="F100" s="18"/>
      <c r="G100" s="18"/>
    </row>
    <row r="101" spans="1:7" hidden="1" outlineLevel="2" x14ac:dyDescent="0.3">
      <c r="A101" s="122" t="s">
        <v>56</v>
      </c>
      <c r="B101" s="37" t="s">
        <v>135</v>
      </c>
      <c r="C101" s="43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0">
        <f>C101*D34</f>
        <v>80.166666666666671</v>
      </c>
      <c r="E101" s="18"/>
      <c r="F101" s="18"/>
      <c r="G101" s="18"/>
    </row>
    <row r="102" spans="1:7" hidden="1" outlineLevel="2" x14ac:dyDescent="0.3">
      <c r="A102" s="122" t="s">
        <v>26</v>
      </c>
      <c r="B102" s="61" t="s">
        <v>136</v>
      </c>
      <c r="C102" s="43">
        <f>C101/3</f>
        <v>1.3888888888888888E-2</v>
      </c>
      <c r="D102" s="62">
        <f>C102*D34</f>
        <v>26.722222222222225</v>
      </c>
      <c r="E102" s="18"/>
      <c r="F102" s="18"/>
      <c r="G102" s="18"/>
    </row>
    <row r="103" spans="1:7" hidden="1" outlineLevel="2" x14ac:dyDescent="0.3">
      <c r="A103" s="122" t="s">
        <v>29</v>
      </c>
      <c r="B103" s="63" t="s">
        <v>137</v>
      </c>
      <c r="C103" s="67">
        <f>C41</f>
        <v>0</v>
      </c>
      <c r="D103" s="22">
        <f>-D41*4</f>
        <v>0</v>
      </c>
      <c r="E103" s="18"/>
      <c r="F103" s="18"/>
      <c r="G103" s="18"/>
    </row>
    <row r="104" spans="1:7" ht="15.75" hidden="1" customHeight="1" outlineLevel="1" collapsed="1" x14ac:dyDescent="0.3">
      <c r="A104" s="339" t="s">
        <v>73</v>
      </c>
      <c r="B104" s="341"/>
      <c r="C104" s="33">
        <f>C101+C102+(D103/D34)</f>
        <v>5.5555555555555552E-2</v>
      </c>
      <c r="D104" s="34">
        <f>SUM(D101:D103)</f>
        <v>106.8888888888889</v>
      </c>
      <c r="E104" s="18"/>
      <c r="F104" s="18"/>
      <c r="G104" s="18"/>
    </row>
    <row r="105" spans="1:7" hidden="1" outlineLevel="1" x14ac:dyDescent="0.3">
      <c r="A105" s="351"/>
      <c r="B105" s="352"/>
      <c r="C105" s="352"/>
      <c r="D105" s="353"/>
      <c r="E105" s="59"/>
      <c r="F105" s="18"/>
      <c r="G105" s="18"/>
    </row>
    <row r="106" spans="1:7" hidden="1" outlineLevel="1" x14ac:dyDescent="0.3">
      <c r="A106" s="357" t="s">
        <v>138</v>
      </c>
      <c r="B106" s="358"/>
      <c r="C106" s="27" t="s">
        <v>68</v>
      </c>
      <c r="D106" s="27" t="s">
        <v>55</v>
      </c>
      <c r="E106" s="59"/>
      <c r="F106" s="18"/>
      <c r="G106" s="18"/>
    </row>
    <row r="107" spans="1:7" hidden="1" outlineLevel="1" x14ac:dyDescent="0.3">
      <c r="A107" s="122" t="s">
        <v>101</v>
      </c>
      <c r="B107" s="37" t="s">
        <v>102</v>
      </c>
      <c r="C107" s="43">
        <f>C86</f>
        <v>0.1</v>
      </c>
      <c r="D107" s="22">
        <f>D86</f>
        <v>433.26342222222229</v>
      </c>
      <c r="E107" s="59"/>
      <c r="F107" s="18"/>
      <c r="G107" s="18"/>
    </row>
    <row r="108" spans="1:7" hidden="1" outlineLevel="1" x14ac:dyDescent="0.3">
      <c r="A108" s="29" t="s">
        <v>123</v>
      </c>
      <c r="B108" s="37" t="s">
        <v>124</v>
      </c>
      <c r="C108" s="64">
        <f>C98</f>
        <v>0.9</v>
      </c>
      <c r="D108" s="22">
        <f>D98</f>
        <v>2212.3448233333334</v>
      </c>
      <c r="E108" s="59"/>
      <c r="F108" s="18"/>
      <c r="G108" s="18"/>
    </row>
    <row r="109" spans="1:7" hidden="1" outlineLevel="1" x14ac:dyDescent="0.3">
      <c r="A109" s="359" t="s">
        <v>139</v>
      </c>
      <c r="B109" s="359"/>
      <c r="C109" s="359"/>
      <c r="D109" s="65">
        <f>D107+D108</f>
        <v>2645.6082455555556</v>
      </c>
      <c r="E109" s="59"/>
      <c r="F109" s="18"/>
      <c r="G109" s="18"/>
    </row>
    <row r="110" spans="1:7" hidden="1" outlineLevel="1" x14ac:dyDescent="0.3">
      <c r="A110" s="360" t="s">
        <v>140</v>
      </c>
      <c r="B110" s="361"/>
      <c r="C110" s="130">
        <v>0.71030000000000004</v>
      </c>
      <c r="D110" s="97">
        <f>C110*D109</f>
        <v>1879.1755368181114</v>
      </c>
      <c r="E110" s="59"/>
      <c r="F110" s="18"/>
      <c r="G110" s="18"/>
    </row>
    <row r="111" spans="1:7" hidden="1" outlineLevel="1" x14ac:dyDescent="0.3">
      <c r="A111" s="362" t="s">
        <v>141</v>
      </c>
      <c r="B111" s="363"/>
      <c r="C111" s="135">
        <f>1/C12</f>
        <v>4.1666666666666664E-2</v>
      </c>
      <c r="D111" s="105">
        <f>D110*C111</f>
        <v>78.29898070075464</v>
      </c>
      <c r="E111" s="59"/>
      <c r="F111" s="18"/>
      <c r="G111" s="18"/>
    </row>
    <row r="112" spans="1:7" hidden="1" outlineLevel="1" x14ac:dyDescent="0.3">
      <c r="A112" s="29" t="s">
        <v>133</v>
      </c>
      <c r="B112" s="37" t="s">
        <v>142</v>
      </c>
      <c r="C112" s="64"/>
      <c r="D112" s="96">
        <f>D104</f>
        <v>106.8888888888889</v>
      </c>
      <c r="E112" s="59"/>
      <c r="F112" s="18"/>
      <c r="G112" s="18"/>
    </row>
    <row r="113" spans="1:7" collapsed="1" x14ac:dyDescent="0.3">
      <c r="A113" s="339" t="s">
        <v>143</v>
      </c>
      <c r="B113" s="341"/>
      <c r="C113" s="33"/>
      <c r="D113" s="66">
        <f>D111+D112</f>
        <v>185.18786958964353</v>
      </c>
      <c r="E113" s="18"/>
      <c r="F113" s="18"/>
      <c r="G113" s="18"/>
    </row>
    <row r="114" spans="1:7" x14ac:dyDescent="0.3">
      <c r="A114" s="335"/>
      <c r="B114" s="336"/>
      <c r="C114" s="336"/>
      <c r="D114" s="337"/>
      <c r="E114" s="18"/>
      <c r="F114" s="18"/>
      <c r="G114" s="18"/>
    </row>
    <row r="115" spans="1:7" x14ac:dyDescent="0.3">
      <c r="A115" s="354" t="s">
        <v>144</v>
      </c>
      <c r="B115" s="355"/>
      <c r="C115" s="355"/>
      <c r="D115" s="356"/>
      <c r="E115" s="18"/>
      <c r="F115" s="18"/>
      <c r="G115" s="18"/>
    </row>
    <row r="116" spans="1:7" hidden="1" outlineLevel="1" x14ac:dyDescent="0.3">
      <c r="A116" s="351"/>
      <c r="B116" s="352"/>
      <c r="C116" s="352"/>
      <c r="D116" s="353"/>
      <c r="E116" s="18"/>
      <c r="F116" s="18"/>
      <c r="G116" s="18"/>
    </row>
    <row r="117" spans="1:7" hidden="1" outlineLevel="1" x14ac:dyDescent="0.3">
      <c r="A117" s="27" t="s">
        <v>145</v>
      </c>
      <c r="B117" s="35" t="s">
        <v>146</v>
      </c>
      <c r="C117" s="33" t="s">
        <v>68</v>
      </c>
      <c r="D117" s="27" t="s">
        <v>55</v>
      </c>
      <c r="E117" s="18"/>
      <c r="F117" s="18"/>
      <c r="G117" s="18"/>
    </row>
    <row r="118" spans="1:7" hidden="1" outlineLevel="2" x14ac:dyDescent="0.3">
      <c r="A118" s="122" t="s">
        <v>56</v>
      </c>
      <c r="B118" s="37" t="s">
        <v>147</v>
      </c>
      <c r="C118" s="67">
        <f>IF(C12&gt;60,5/C12,IF(C12&gt;48,4/C12,IF(C12&gt;36,3/C12,IF(C12&gt;24,2/C12,IF(C12&gt;12,1/C12,0)))))</f>
        <v>4.1666666666666664E-2</v>
      </c>
      <c r="D118" s="60">
        <f>C118*(D34+D70+D113)</f>
        <v>149.77303623290183</v>
      </c>
      <c r="E118" s="106"/>
      <c r="F118" s="18"/>
      <c r="G118" s="68"/>
    </row>
    <row r="119" spans="1:7" hidden="1" outlineLevel="2" x14ac:dyDescent="0.3">
      <c r="A119" s="69" t="s">
        <v>105</v>
      </c>
      <c r="B119" s="37" t="s">
        <v>148</v>
      </c>
      <c r="C119" s="67">
        <f>C41</f>
        <v>0</v>
      </c>
      <c r="D119" s="96">
        <f>-D118*(1/3)*(C119)</f>
        <v>0</v>
      </c>
      <c r="E119" s="18"/>
      <c r="F119" s="18"/>
      <c r="G119" s="18"/>
    </row>
    <row r="120" spans="1:7" hidden="1" outlineLevel="1" collapsed="1" x14ac:dyDescent="0.3">
      <c r="A120" s="339" t="s">
        <v>149</v>
      </c>
      <c r="B120" s="341"/>
      <c r="C120" s="33">
        <f>C118+(D119/D34)</f>
        <v>4.1666666666666664E-2</v>
      </c>
      <c r="D120" s="34">
        <f>SUM(D118:D119)</f>
        <v>149.77303623290183</v>
      </c>
      <c r="E120" s="18"/>
      <c r="F120" s="18"/>
      <c r="G120" s="18"/>
    </row>
    <row r="121" spans="1:7" hidden="1" outlineLevel="1" x14ac:dyDescent="0.3">
      <c r="A121" s="351"/>
      <c r="B121" s="352"/>
      <c r="C121" s="352"/>
      <c r="D121" s="353"/>
      <c r="E121" s="18"/>
      <c r="F121" s="18"/>
      <c r="G121" s="18"/>
    </row>
    <row r="122" spans="1:7" hidden="1" outlineLevel="1" x14ac:dyDescent="0.3">
      <c r="A122" s="27" t="s">
        <v>150</v>
      </c>
      <c r="B122" s="35" t="s">
        <v>151</v>
      </c>
      <c r="C122" s="33" t="s">
        <v>68</v>
      </c>
      <c r="D122" s="27" t="s">
        <v>55</v>
      </c>
      <c r="E122" s="18"/>
      <c r="F122" s="18"/>
      <c r="G122" s="18"/>
    </row>
    <row r="123" spans="1:7" hidden="1" outlineLevel="2" x14ac:dyDescent="0.3">
      <c r="A123" s="122" t="s">
        <v>56</v>
      </c>
      <c r="B123" s="120" t="s">
        <v>152</v>
      </c>
      <c r="C123" s="131">
        <v>1.35E-2</v>
      </c>
      <c r="D123" s="60">
        <f t="shared" ref="D123:D128" si="1">C123*($D$64+$D$113+$D$34)</f>
        <v>35.513489739460191</v>
      </c>
      <c r="E123" s="18"/>
      <c r="F123" s="18"/>
      <c r="G123" s="68"/>
    </row>
    <row r="124" spans="1:7" hidden="1" outlineLevel="2" x14ac:dyDescent="0.3">
      <c r="A124" s="122" t="s">
        <v>26</v>
      </c>
      <c r="B124" s="37" t="s">
        <v>153</v>
      </c>
      <c r="C124" s="143">
        <v>1.66E-2</v>
      </c>
      <c r="D124" s="60">
        <f t="shared" si="1"/>
        <v>43.668439235188089</v>
      </c>
      <c r="E124" s="18"/>
      <c r="F124" s="18"/>
      <c r="G124" s="68"/>
    </row>
    <row r="125" spans="1:7" hidden="1" outlineLevel="2" x14ac:dyDescent="0.3">
      <c r="A125" s="122" t="s">
        <v>29</v>
      </c>
      <c r="B125" s="37" t="s">
        <v>154</v>
      </c>
      <c r="C125" s="143">
        <v>2.7000000000000001E-3</v>
      </c>
      <c r="D125" s="60">
        <f t="shared" si="1"/>
        <v>7.1026979478920387</v>
      </c>
      <c r="E125" s="18"/>
      <c r="F125" s="18"/>
      <c r="G125" s="68"/>
    </row>
    <row r="126" spans="1:7" hidden="1" outlineLevel="2" x14ac:dyDescent="0.3">
      <c r="A126" s="122" t="s">
        <v>31</v>
      </c>
      <c r="B126" s="37" t="s">
        <v>155</v>
      </c>
      <c r="C126" s="143">
        <v>2.8E-3</v>
      </c>
      <c r="D126" s="60">
        <f t="shared" si="1"/>
        <v>7.3657608348510024</v>
      </c>
      <c r="E126" s="18"/>
      <c r="F126" s="18"/>
      <c r="G126" s="18"/>
    </row>
    <row r="127" spans="1:7" hidden="1" outlineLevel="2" x14ac:dyDescent="0.3">
      <c r="A127" s="122" t="s">
        <v>34</v>
      </c>
      <c r="B127" s="37" t="s">
        <v>156</v>
      </c>
      <c r="C127" s="143">
        <v>2.0000000000000001E-4</v>
      </c>
      <c r="D127" s="60">
        <f t="shared" si="1"/>
        <v>0.52612577391792881</v>
      </c>
      <c r="E127" s="18"/>
      <c r="F127" s="18"/>
      <c r="G127" s="18"/>
    </row>
    <row r="128" spans="1:7" hidden="1" outlineLevel="2" x14ac:dyDescent="0.3">
      <c r="A128" s="122" t="s">
        <v>37</v>
      </c>
      <c r="B128" s="37" t="s">
        <v>157</v>
      </c>
      <c r="C128" s="143">
        <v>2.9999999999999997E-4</v>
      </c>
      <c r="D128" s="60">
        <f t="shared" si="1"/>
        <v>0.7891886608768931</v>
      </c>
      <c r="E128" s="18"/>
      <c r="F128" s="18"/>
      <c r="G128" s="18"/>
    </row>
    <row r="129" spans="1:7" hidden="1" outlineLevel="1" collapsed="1" x14ac:dyDescent="0.3">
      <c r="A129" s="339" t="s">
        <v>149</v>
      </c>
      <c r="B129" s="341"/>
      <c r="C129" s="33">
        <f>SUM(C123:C128)</f>
        <v>3.61E-2</v>
      </c>
      <c r="D129" s="34">
        <f>SUM(D123:D128)</f>
        <v>94.965702192186143</v>
      </c>
      <c r="E129" s="18"/>
      <c r="F129" s="18"/>
      <c r="G129" s="18"/>
    </row>
    <row r="130" spans="1:7" hidden="1" outlineLevel="1" x14ac:dyDescent="0.3">
      <c r="A130" s="351"/>
      <c r="B130" s="352"/>
      <c r="C130" s="352"/>
      <c r="D130" s="353"/>
      <c r="E130" s="18"/>
      <c r="F130" s="18"/>
      <c r="G130" s="18"/>
    </row>
    <row r="131" spans="1:7" hidden="1" outlineLevel="1" x14ac:dyDescent="0.3">
      <c r="A131" s="357" t="s">
        <v>158</v>
      </c>
      <c r="B131" s="358"/>
      <c r="C131" s="27" t="s">
        <v>68</v>
      </c>
      <c r="D131" s="27" t="s">
        <v>55</v>
      </c>
      <c r="E131" s="18"/>
      <c r="F131" s="18"/>
      <c r="G131" s="18"/>
    </row>
    <row r="132" spans="1:7" hidden="1" outlineLevel="1" x14ac:dyDescent="0.3">
      <c r="A132" s="122" t="s">
        <v>145</v>
      </c>
      <c r="B132" s="37" t="s">
        <v>146</v>
      </c>
      <c r="C132" s="43"/>
      <c r="D132" s="80">
        <f>D120</f>
        <v>149.77303623290183</v>
      </c>
      <c r="E132" s="18"/>
      <c r="F132" s="18"/>
      <c r="G132" s="18"/>
    </row>
    <row r="133" spans="1:7" hidden="1" outlineLevel="1" x14ac:dyDescent="0.3">
      <c r="A133" s="122" t="s">
        <v>150</v>
      </c>
      <c r="B133" s="37" t="s">
        <v>151</v>
      </c>
      <c r="C133" s="43"/>
      <c r="D133" s="80">
        <f>D129</f>
        <v>94.965702192186143</v>
      </c>
      <c r="E133" s="18"/>
      <c r="F133" s="18"/>
      <c r="G133" s="18"/>
    </row>
    <row r="134" spans="1:7" collapsed="1" x14ac:dyDescent="0.3">
      <c r="A134" s="339" t="s">
        <v>73</v>
      </c>
      <c r="B134" s="340"/>
      <c r="C134" s="341"/>
      <c r="D134" s="40">
        <f>SUM(D132:D133)</f>
        <v>244.73873842508797</v>
      </c>
      <c r="E134" s="18"/>
      <c r="F134" s="18"/>
      <c r="G134" s="18"/>
    </row>
    <row r="135" spans="1:7" x14ac:dyDescent="0.3">
      <c r="A135" s="351"/>
      <c r="B135" s="352"/>
      <c r="C135" s="352"/>
      <c r="D135" s="353"/>
      <c r="E135" s="18"/>
      <c r="F135" s="18"/>
      <c r="G135" s="18"/>
    </row>
    <row r="136" spans="1:7" x14ac:dyDescent="0.3">
      <c r="A136" s="354" t="s">
        <v>159</v>
      </c>
      <c r="B136" s="355"/>
      <c r="C136" s="355"/>
      <c r="D136" s="356"/>
      <c r="E136" s="18"/>
      <c r="F136" s="18"/>
      <c r="G136" s="18"/>
    </row>
    <row r="137" spans="1:7" outlineLevel="1" x14ac:dyDescent="0.3">
      <c r="A137" s="351"/>
      <c r="B137" s="352"/>
      <c r="C137" s="352"/>
      <c r="D137" s="353"/>
      <c r="E137" s="18"/>
      <c r="F137" s="18"/>
      <c r="G137" s="18"/>
    </row>
    <row r="138" spans="1:7" outlineLevel="1" x14ac:dyDescent="0.3">
      <c r="A138" s="124">
        <v>5</v>
      </c>
      <c r="B138" s="339" t="s">
        <v>160</v>
      </c>
      <c r="C138" s="341"/>
      <c r="D138" s="27" t="s">
        <v>55</v>
      </c>
      <c r="E138" s="18"/>
      <c r="F138" s="18"/>
      <c r="G138" s="18"/>
    </row>
    <row r="139" spans="1:7" outlineLevel="1" x14ac:dyDescent="0.3">
      <c r="A139" s="122" t="s">
        <v>56</v>
      </c>
      <c r="B139" s="345" t="s">
        <v>161</v>
      </c>
      <c r="C139" s="346"/>
      <c r="D139" s="60">
        <f>INSUMOS!H15</f>
        <v>51.709666666666664</v>
      </c>
      <c r="E139" s="18"/>
      <c r="F139" s="18"/>
      <c r="G139" s="18"/>
    </row>
    <row r="140" spans="1:7" outlineLevel="1" x14ac:dyDescent="0.3">
      <c r="A140" s="122" t="s">
        <v>26</v>
      </c>
      <c r="B140" s="345" t="s">
        <v>162</v>
      </c>
      <c r="C140" s="346"/>
      <c r="D140" s="70">
        <f>INSUMOS!H35</f>
        <v>5.0591249999999999</v>
      </c>
      <c r="E140" s="18"/>
      <c r="F140" s="18"/>
      <c r="G140" s="18"/>
    </row>
    <row r="141" spans="1:7" outlineLevel="1" x14ac:dyDescent="0.3">
      <c r="A141" s="122" t="s">
        <v>29</v>
      </c>
      <c r="B141" s="347" t="s">
        <v>163</v>
      </c>
      <c r="C141" s="348"/>
      <c r="D141" s="70">
        <f>INSUMOS!H44</f>
        <v>62.5</v>
      </c>
      <c r="E141" s="18"/>
      <c r="F141" s="18"/>
      <c r="G141" s="18"/>
    </row>
    <row r="142" spans="1:7" outlineLevel="1" x14ac:dyDescent="0.3">
      <c r="A142" s="122" t="s">
        <v>31</v>
      </c>
      <c r="B142" s="349" t="s">
        <v>63</v>
      </c>
      <c r="C142" s="350"/>
      <c r="D142" s="142">
        <v>0</v>
      </c>
      <c r="E142" s="18"/>
      <c r="F142" s="18"/>
      <c r="G142" s="18"/>
    </row>
    <row r="143" spans="1:7" outlineLevel="1" x14ac:dyDescent="0.3">
      <c r="A143" s="122" t="s">
        <v>34</v>
      </c>
      <c r="B143" s="349" t="s">
        <v>63</v>
      </c>
      <c r="C143" s="350"/>
      <c r="D143" s="142">
        <v>0</v>
      </c>
      <c r="E143" s="18"/>
      <c r="F143" s="18"/>
      <c r="G143" s="18"/>
    </row>
    <row r="144" spans="1:7" x14ac:dyDescent="0.3">
      <c r="A144" s="339" t="s">
        <v>164</v>
      </c>
      <c r="B144" s="340"/>
      <c r="C144" s="341"/>
      <c r="D144" s="34">
        <f>SUM(D139:D143)</f>
        <v>119.26879166666666</v>
      </c>
      <c r="E144" s="18"/>
      <c r="F144" s="18"/>
      <c r="G144" s="18"/>
    </row>
    <row r="145" spans="1:7" x14ac:dyDescent="0.3">
      <c r="A145" s="335"/>
      <c r="B145" s="336"/>
      <c r="C145" s="336"/>
      <c r="D145" s="337"/>
      <c r="E145" s="18"/>
      <c r="F145" s="18"/>
      <c r="G145" s="18"/>
    </row>
    <row r="146" spans="1:7" x14ac:dyDescent="0.3">
      <c r="A146" s="342" t="s">
        <v>165</v>
      </c>
      <c r="B146" s="342"/>
      <c r="C146" s="342"/>
      <c r="D146" s="126">
        <f>D34+D70+D113+D134+D144</f>
        <v>3958.5603996813988</v>
      </c>
      <c r="E146" s="18"/>
      <c r="F146" s="18"/>
      <c r="G146" s="18"/>
    </row>
    <row r="147" spans="1:7" x14ac:dyDescent="0.3">
      <c r="A147" s="343"/>
      <c r="B147" s="343"/>
      <c r="C147" s="343"/>
      <c r="D147" s="343"/>
      <c r="E147" s="18"/>
      <c r="F147" s="18"/>
      <c r="G147" s="18"/>
    </row>
    <row r="148" spans="1:7" x14ac:dyDescent="0.3">
      <c r="A148" s="344" t="s">
        <v>166</v>
      </c>
      <c r="B148" s="344"/>
      <c r="C148" s="344"/>
      <c r="D148" s="344"/>
      <c r="E148" s="18"/>
      <c r="F148" s="18"/>
      <c r="G148" s="18"/>
    </row>
    <row r="149" spans="1:7" hidden="1" outlineLevel="1" x14ac:dyDescent="0.3">
      <c r="A149" s="330"/>
      <c r="B149" s="331"/>
      <c r="C149" s="331"/>
      <c r="D149" s="332"/>
      <c r="E149" s="18"/>
      <c r="F149" s="18"/>
      <c r="G149" s="18"/>
    </row>
    <row r="150" spans="1:7" hidden="1" outlineLevel="1" x14ac:dyDescent="0.3">
      <c r="A150" s="283">
        <v>6</v>
      </c>
      <c r="B150" s="283" t="s">
        <v>167</v>
      </c>
      <c r="C150" s="283" t="s">
        <v>68</v>
      </c>
      <c r="D150" s="284" t="s">
        <v>55</v>
      </c>
      <c r="E150" s="18"/>
      <c r="F150" s="18"/>
      <c r="G150" s="18"/>
    </row>
    <row r="151" spans="1:7" hidden="1" outlineLevel="1" x14ac:dyDescent="0.3">
      <c r="A151" s="285" t="s">
        <v>56</v>
      </c>
      <c r="B151" s="199" t="s">
        <v>168</v>
      </c>
      <c r="C151" s="286">
        <v>0.2843</v>
      </c>
      <c r="D151" s="289">
        <f>C151*D146</f>
        <v>1125.4187216294217</v>
      </c>
      <c r="E151" s="18"/>
      <c r="F151" s="18"/>
      <c r="G151" s="18"/>
    </row>
    <row r="152" spans="1:7" ht="15.75" hidden="1" customHeight="1" outlineLevel="1" x14ac:dyDescent="0.3">
      <c r="A152" s="333" t="s">
        <v>169</v>
      </c>
      <c r="B152" s="334"/>
      <c r="C152" s="287"/>
      <c r="D152" s="290">
        <f>D151</f>
        <v>1125.4187216294217</v>
      </c>
      <c r="E152" s="18"/>
      <c r="F152" s="18"/>
      <c r="G152" s="18"/>
    </row>
    <row r="153" spans="1:7" collapsed="1" x14ac:dyDescent="0.3">
      <c r="A153" s="335"/>
      <c r="B153" s="336"/>
      <c r="C153" s="336"/>
      <c r="D153" s="337"/>
      <c r="E153" s="18"/>
      <c r="F153" s="18"/>
      <c r="G153" s="18"/>
    </row>
    <row r="154" spans="1:7" x14ac:dyDescent="0.3">
      <c r="A154" s="327" t="s">
        <v>170</v>
      </c>
      <c r="B154" s="328"/>
      <c r="C154" s="329"/>
      <c r="D154" s="71" t="s">
        <v>55</v>
      </c>
      <c r="E154" s="18"/>
      <c r="F154" s="18"/>
      <c r="G154" s="18"/>
    </row>
    <row r="155" spans="1:7" x14ac:dyDescent="0.3">
      <c r="A155" s="325" t="s">
        <v>171</v>
      </c>
      <c r="B155" s="338"/>
      <c r="C155" s="338"/>
      <c r="D155" s="326"/>
      <c r="E155" s="18"/>
      <c r="F155" s="18"/>
      <c r="G155" s="18"/>
    </row>
    <row r="156" spans="1:7" x14ac:dyDescent="0.3">
      <c r="A156" s="125" t="s">
        <v>56</v>
      </c>
      <c r="B156" s="325" t="s">
        <v>172</v>
      </c>
      <c r="C156" s="326"/>
      <c r="D156" s="22">
        <f>D34</f>
        <v>1924.0000000000002</v>
      </c>
      <c r="E156" s="18"/>
      <c r="F156" s="18"/>
      <c r="G156" s="18"/>
    </row>
    <row r="157" spans="1:7" x14ac:dyDescent="0.3">
      <c r="A157" s="125" t="s">
        <v>26</v>
      </c>
      <c r="B157" s="325" t="s">
        <v>173</v>
      </c>
      <c r="C157" s="326"/>
      <c r="D157" s="22">
        <f>D70</f>
        <v>1485.3650000000002</v>
      </c>
      <c r="E157" s="18"/>
      <c r="F157" s="18"/>
      <c r="G157" s="18"/>
    </row>
    <row r="158" spans="1:7" x14ac:dyDescent="0.3">
      <c r="A158" s="125" t="s">
        <v>29</v>
      </c>
      <c r="B158" s="325" t="s">
        <v>174</v>
      </c>
      <c r="C158" s="326"/>
      <c r="D158" s="22">
        <f>D113</f>
        <v>185.18786958964353</v>
      </c>
      <c r="E158" s="18"/>
      <c r="F158" s="18"/>
      <c r="G158" s="18"/>
    </row>
    <row r="159" spans="1:7" x14ac:dyDescent="0.3">
      <c r="A159" s="125" t="s">
        <v>31</v>
      </c>
      <c r="B159" s="325" t="s">
        <v>175</v>
      </c>
      <c r="C159" s="326"/>
      <c r="D159" s="22">
        <f>D134</f>
        <v>244.73873842508797</v>
      </c>
      <c r="E159" s="18"/>
      <c r="F159" s="18"/>
      <c r="G159" s="18"/>
    </row>
    <row r="160" spans="1:7" x14ac:dyDescent="0.3">
      <c r="A160" s="125" t="s">
        <v>34</v>
      </c>
      <c r="B160" s="325" t="s">
        <v>176</v>
      </c>
      <c r="C160" s="326"/>
      <c r="D160" s="22">
        <f>D144</f>
        <v>119.26879166666666</v>
      </c>
      <c r="E160" s="18"/>
      <c r="F160" s="18"/>
      <c r="G160" s="18"/>
    </row>
    <row r="161" spans="1:7" x14ac:dyDescent="0.3">
      <c r="A161" s="322" t="s">
        <v>177</v>
      </c>
      <c r="B161" s="323"/>
      <c r="C161" s="324"/>
      <c r="D161" s="22">
        <f>SUM(D156:D160)</f>
        <v>3958.5603996813988</v>
      </c>
      <c r="E161" s="18"/>
      <c r="F161" s="18"/>
      <c r="G161" s="18"/>
    </row>
    <row r="162" spans="1:7" x14ac:dyDescent="0.3">
      <c r="A162" s="125" t="s">
        <v>178</v>
      </c>
      <c r="B162" s="325" t="s">
        <v>179</v>
      </c>
      <c r="C162" s="326"/>
      <c r="D162" s="288">
        <f>D152</f>
        <v>1125.4187216294217</v>
      </c>
      <c r="E162" s="18"/>
      <c r="F162" s="18"/>
      <c r="G162" s="18"/>
    </row>
    <row r="163" spans="1:7" x14ac:dyDescent="0.3">
      <c r="A163" s="327" t="s">
        <v>180</v>
      </c>
      <c r="B163" s="328"/>
      <c r="C163" s="329"/>
      <c r="D163" s="98">
        <f xml:space="preserve"> D161+D162</f>
        <v>5083.9791213108201</v>
      </c>
      <c r="E163" s="18"/>
      <c r="F163" s="18"/>
      <c r="G163" s="18"/>
    </row>
    <row r="164" spans="1:7" x14ac:dyDescent="0.3">
      <c r="A164" s="18"/>
      <c r="B164" s="18"/>
      <c r="C164" s="18"/>
      <c r="D164" s="18"/>
      <c r="E164" s="18"/>
      <c r="F164" s="18"/>
      <c r="G164" s="18"/>
    </row>
    <row r="165" spans="1:7" x14ac:dyDescent="0.3">
      <c r="A165" s="18"/>
      <c r="B165" s="18"/>
      <c r="C165" s="18"/>
      <c r="D165" s="18"/>
      <c r="E165" s="18"/>
      <c r="F165" s="18"/>
      <c r="G165" s="18"/>
    </row>
    <row r="166" spans="1:7" x14ac:dyDescent="0.3">
      <c r="A166" s="18"/>
      <c r="B166" s="18"/>
      <c r="C166" s="18"/>
      <c r="D166" s="18"/>
      <c r="E166" s="18"/>
      <c r="F166" s="18"/>
      <c r="G166" s="18"/>
    </row>
  </sheetData>
  <mergeCells count="90">
    <mergeCell ref="A4:D4"/>
    <mergeCell ref="A1:D1"/>
    <mergeCell ref="A2:B2"/>
    <mergeCell ref="C2:D2"/>
    <mergeCell ref="A3:B3"/>
    <mergeCell ref="C3:D3"/>
    <mergeCell ref="C16:D16"/>
    <mergeCell ref="A5:D5"/>
    <mergeCell ref="C6:D6"/>
    <mergeCell ref="C7:D7"/>
    <mergeCell ref="C8:D8"/>
    <mergeCell ref="C9:D9"/>
    <mergeCell ref="C10:D10"/>
    <mergeCell ref="C11:D11"/>
    <mergeCell ref="C12:D12"/>
    <mergeCell ref="A13:D13"/>
    <mergeCell ref="A14:D14"/>
    <mergeCell ref="A15:D15"/>
    <mergeCell ref="A35:D35"/>
    <mergeCell ref="C17:D17"/>
    <mergeCell ref="C18:D18"/>
    <mergeCell ref="A19:D19"/>
    <mergeCell ref="B20:C20"/>
    <mergeCell ref="B21:C21"/>
    <mergeCell ref="B22:C22"/>
    <mergeCell ref="A23:D23"/>
    <mergeCell ref="A24:D24"/>
    <mergeCell ref="A25:D25"/>
    <mergeCell ref="B26:C26"/>
    <mergeCell ref="A34:C34"/>
    <mergeCell ref="A72:D72"/>
    <mergeCell ref="A36:D36"/>
    <mergeCell ref="A37:D37"/>
    <mergeCell ref="A42:B42"/>
    <mergeCell ref="A43:D43"/>
    <mergeCell ref="A53:B53"/>
    <mergeCell ref="A54:D54"/>
    <mergeCell ref="A64:C64"/>
    <mergeCell ref="A65:D65"/>
    <mergeCell ref="A66:B66"/>
    <mergeCell ref="A70:C70"/>
    <mergeCell ref="A71:D71"/>
    <mergeCell ref="A113:B113"/>
    <mergeCell ref="A73:D73"/>
    <mergeCell ref="A86:B86"/>
    <mergeCell ref="A87:D87"/>
    <mergeCell ref="A98:B98"/>
    <mergeCell ref="A99:D99"/>
    <mergeCell ref="A104:B104"/>
    <mergeCell ref="A105:D105"/>
    <mergeCell ref="A106:B106"/>
    <mergeCell ref="A109:C109"/>
    <mergeCell ref="A110:B110"/>
    <mergeCell ref="A111:B111"/>
    <mergeCell ref="A137:D137"/>
    <mergeCell ref="A114:D114"/>
    <mergeCell ref="A115:D115"/>
    <mergeCell ref="A116:D116"/>
    <mergeCell ref="A120:B120"/>
    <mergeCell ref="A121:D121"/>
    <mergeCell ref="A129:B129"/>
    <mergeCell ref="A130:D130"/>
    <mergeCell ref="A131:B131"/>
    <mergeCell ref="A134:C134"/>
    <mergeCell ref="A135:D135"/>
    <mergeCell ref="A136:D136"/>
    <mergeCell ref="B138:C138"/>
    <mergeCell ref="B139:C139"/>
    <mergeCell ref="B140:C140"/>
    <mergeCell ref="B141:C141"/>
    <mergeCell ref="B143:C143"/>
    <mergeCell ref="B142:C142"/>
    <mergeCell ref="A144:C144"/>
    <mergeCell ref="A145:D145"/>
    <mergeCell ref="A146:C146"/>
    <mergeCell ref="A147:D147"/>
    <mergeCell ref="A148:D148"/>
    <mergeCell ref="A161:C161"/>
    <mergeCell ref="B162:C162"/>
    <mergeCell ref="A163:C163"/>
    <mergeCell ref="A149:D149"/>
    <mergeCell ref="A152:B152"/>
    <mergeCell ref="B160:C160"/>
    <mergeCell ref="A153:D153"/>
    <mergeCell ref="A154:C154"/>
    <mergeCell ref="A155:D155"/>
    <mergeCell ref="B156:C156"/>
    <mergeCell ref="B157:C157"/>
    <mergeCell ref="B158:C158"/>
    <mergeCell ref="B159:C1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BFCB-8704-4524-8978-3EF80030F499}">
  <dimension ref="A1:WVO166"/>
  <sheetViews>
    <sheetView zoomScale="80" zoomScaleNormal="80" workbookViewId="0">
      <selection activeCell="D142" sqref="D142"/>
    </sheetView>
  </sheetViews>
  <sheetFormatPr defaultColWidth="0" defaultRowHeight="15.75" customHeight="1" zeroHeight="1" outlineLevelRow="3" x14ac:dyDescent="0.3"/>
  <cols>
    <col min="1" max="1" width="18.7109375" style="19" customWidth="1"/>
    <col min="2" max="2" width="72" style="19" customWidth="1"/>
    <col min="3" max="3" width="22.85546875" style="19" customWidth="1"/>
    <col min="4" max="4" width="29.85546875" style="19" customWidth="1"/>
    <col min="5" max="5" width="11.85546875" style="19" customWidth="1"/>
    <col min="6" max="6" width="9.140625" style="19" customWidth="1"/>
    <col min="7" max="254" width="9.140625" style="19" hidden="1"/>
    <col min="255" max="255" width="18.7109375" style="19" hidden="1"/>
    <col min="256" max="256" width="72" style="19" hidden="1"/>
    <col min="257" max="257" width="22.85546875" style="19" hidden="1"/>
    <col min="258" max="258" width="29.85546875" style="19" hidden="1"/>
    <col min="259" max="260" width="9.140625" style="19" hidden="1"/>
    <col min="261" max="261" width="15.42578125" style="19" hidden="1"/>
    <col min="262" max="510" width="9.140625" style="19" hidden="1"/>
    <col min="511" max="511" width="18.7109375" style="19" hidden="1"/>
    <col min="512" max="512" width="72" style="19" hidden="1"/>
    <col min="513" max="513" width="22.85546875" style="19" hidden="1"/>
    <col min="514" max="514" width="29.85546875" style="19" hidden="1"/>
    <col min="515" max="516" width="9.140625" style="19" hidden="1"/>
    <col min="517" max="517" width="15.42578125" style="19" hidden="1"/>
    <col min="518" max="766" width="9.140625" style="19" hidden="1"/>
    <col min="767" max="767" width="18.7109375" style="19" hidden="1"/>
    <col min="768" max="768" width="72" style="19" hidden="1"/>
    <col min="769" max="769" width="22.85546875" style="19" hidden="1"/>
    <col min="770" max="770" width="29.85546875" style="19" hidden="1"/>
    <col min="771" max="772" width="9.140625" style="19" hidden="1"/>
    <col min="773" max="773" width="15.42578125" style="19" hidden="1"/>
    <col min="774" max="1022" width="9.140625" style="19" hidden="1"/>
    <col min="1023" max="1023" width="18.7109375" style="19" hidden="1"/>
    <col min="1024" max="1024" width="72" style="19" hidden="1"/>
    <col min="1025" max="1025" width="22.85546875" style="19" hidden="1"/>
    <col min="1026" max="1026" width="29.85546875" style="19" hidden="1"/>
    <col min="1027" max="1028" width="9.140625" style="19" hidden="1"/>
    <col min="1029" max="1029" width="15.42578125" style="19" hidden="1"/>
    <col min="1030" max="1278" width="9.140625" style="19" hidden="1"/>
    <col min="1279" max="1279" width="18.7109375" style="19" hidden="1"/>
    <col min="1280" max="1280" width="72" style="19" hidden="1"/>
    <col min="1281" max="1281" width="22.85546875" style="19" hidden="1"/>
    <col min="1282" max="1282" width="29.85546875" style="19" hidden="1"/>
    <col min="1283" max="1284" width="9.140625" style="19" hidden="1"/>
    <col min="1285" max="1285" width="15.42578125" style="19" hidden="1"/>
    <col min="1286" max="1534" width="9.140625" style="19" hidden="1"/>
    <col min="1535" max="1535" width="18.7109375" style="19" hidden="1"/>
    <col min="1536" max="1536" width="72" style="19" hidden="1"/>
    <col min="1537" max="1537" width="22.85546875" style="19" hidden="1"/>
    <col min="1538" max="1538" width="29.85546875" style="19" hidden="1"/>
    <col min="1539" max="1540" width="9.140625" style="19" hidden="1"/>
    <col min="1541" max="1541" width="15.42578125" style="19" hidden="1"/>
    <col min="1542" max="1790" width="9.140625" style="19" hidden="1"/>
    <col min="1791" max="1791" width="18.7109375" style="19" hidden="1"/>
    <col min="1792" max="1792" width="72" style="19" hidden="1"/>
    <col min="1793" max="1793" width="22.85546875" style="19" hidden="1"/>
    <col min="1794" max="1794" width="29.85546875" style="19" hidden="1"/>
    <col min="1795" max="1796" width="9.140625" style="19" hidden="1"/>
    <col min="1797" max="1797" width="15.42578125" style="19" hidden="1"/>
    <col min="1798" max="2046" width="9.140625" style="19" hidden="1"/>
    <col min="2047" max="2047" width="18.7109375" style="19" hidden="1"/>
    <col min="2048" max="2048" width="72" style="19" hidden="1"/>
    <col min="2049" max="2049" width="22.85546875" style="19" hidden="1"/>
    <col min="2050" max="2050" width="29.85546875" style="19" hidden="1"/>
    <col min="2051" max="2052" width="9.140625" style="19" hidden="1"/>
    <col min="2053" max="2053" width="15.42578125" style="19" hidden="1"/>
    <col min="2054" max="2302" width="9.140625" style="19" hidden="1"/>
    <col min="2303" max="2303" width="18.7109375" style="19" hidden="1"/>
    <col min="2304" max="2304" width="72" style="19" hidden="1"/>
    <col min="2305" max="2305" width="22.85546875" style="19" hidden="1"/>
    <col min="2306" max="2306" width="29.85546875" style="19" hidden="1"/>
    <col min="2307" max="2308" width="9.140625" style="19" hidden="1"/>
    <col min="2309" max="2309" width="15.42578125" style="19" hidden="1"/>
    <col min="2310" max="2558" width="9.140625" style="19" hidden="1"/>
    <col min="2559" max="2559" width="18.7109375" style="19" hidden="1"/>
    <col min="2560" max="2560" width="72" style="19" hidden="1"/>
    <col min="2561" max="2561" width="22.85546875" style="19" hidden="1"/>
    <col min="2562" max="2562" width="29.85546875" style="19" hidden="1"/>
    <col min="2563" max="2564" width="9.140625" style="19" hidden="1"/>
    <col min="2565" max="2565" width="15.42578125" style="19" hidden="1"/>
    <col min="2566" max="2814" width="9.140625" style="19" hidden="1"/>
    <col min="2815" max="2815" width="18.7109375" style="19" hidden="1"/>
    <col min="2816" max="2816" width="72" style="19" hidden="1"/>
    <col min="2817" max="2817" width="22.85546875" style="19" hidden="1"/>
    <col min="2818" max="2818" width="29.85546875" style="19" hidden="1"/>
    <col min="2819" max="2820" width="9.140625" style="19" hidden="1"/>
    <col min="2821" max="2821" width="15.42578125" style="19" hidden="1"/>
    <col min="2822" max="3070" width="9.140625" style="19" hidden="1"/>
    <col min="3071" max="3071" width="18.7109375" style="19" hidden="1"/>
    <col min="3072" max="3072" width="72" style="19" hidden="1"/>
    <col min="3073" max="3073" width="22.85546875" style="19" hidden="1"/>
    <col min="3074" max="3074" width="29.85546875" style="19" hidden="1"/>
    <col min="3075" max="3076" width="9.140625" style="19" hidden="1"/>
    <col min="3077" max="3077" width="15.42578125" style="19" hidden="1"/>
    <col min="3078" max="3326" width="9.140625" style="19" hidden="1"/>
    <col min="3327" max="3327" width="18.7109375" style="19" hidden="1"/>
    <col min="3328" max="3328" width="72" style="19" hidden="1"/>
    <col min="3329" max="3329" width="22.85546875" style="19" hidden="1"/>
    <col min="3330" max="3330" width="29.85546875" style="19" hidden="1"/>
    <col min="3331" max="3332" width="9.140625" style="19" hidden="1"/>
    <col min="3333" max="3333" width="15.42578125" style="19" hidden="1"/>
    <col min="3334" max="3582" width="9.140625" style="19" hidden="1"/>
    <col min="3583" max="3583" width="18.7109375" style="19" hidden="1"/>
    <col min="3584" max="3584" width="72" style="19" hidden="1"/>
    <col min="3585" max="3585" width="22.85546875" style="19" hidden="1"/>
    <col min="3586" max="3586" width="29.85546875" style="19" hidden="1"/>
    <col min="3587" max="3588" width="9.140625" style="19" hidden="1"/>
    <col min="3589" max="3589" width="15.42578125" style="19" hidden="1"/>
    <col min="3590" max="3838" width="9.140625" style="19" hidden="1"/>
    <col min="3839" max="3839" width="18.7109375" style="19" hidden="1"/>
    <col min="3840" max="3840" width="72" style="19" hidden="1"/>
    <col min="3841" max="3841" width="22.85546875" style="19" hidden="1"/>
    <col min="3842" max="3842" width="29.85546875" style="19" hidden="1"/>
    <col min="3843" max="3844" width="9.140625" style="19" hidden="1"/>
    <col min="3845" max="3845" width="15.42578125" style="19" hidden="1"/>
    <col min="3846" max="4094" width="9.140625" style="19" hidden="1"/>
    <col min="4095" max="4095" width="18.7109375" style="19" hidden="1"/>
    <col min="4096" max="4096" width="72" style="19" hidden="1"/>
    <col min="4097" max="4097" width="22.85546875" style="19" hidden="1"/>
    <col min="4098" max="4098" width="29.85546875" style="19" hidden="1"/>
    <col min="4099" max="4100" width="9.140625" style="19" hidden="1"/>
    <col min="4101" max="4101" width="15.42578125" style="19" hidden="1"/>
    <col min="4102" max="4350" width="9.140625" style="19" hidden="1"/>
    <col min="4351" max="4351" width="18.7109375" style="19" hidden="1"/>
    <col min="4352" max="4352" width="72" style="19" hidden="1"/>
    <col min="4353" max="4353" width="22.85546875" style="19" hidden="1"/>
    <col min="4354" max="4354" width="29.85546875" style="19" hidden="1"/>
    <col min="4355" max="4356" width="9.140625" style="19" hidden="1"/>
    <col min="4357" max="4357" width="15.42578125" style="19" hidden="1"/>
    <col min="4358" max="4606" width="9.140625" style="19" hidden="1"/>
    <col min="4607" max="4607" width="18.7109375" style="19" hidden="1"/>
    <col min="4608" max="4608" width="72" style="19" hidden="1"/>
    <col min="4609" max="4609" width="22.85546875" style="19" hidden="1"/>
    <col min="4610" max="4610" width="29.85546875" style="19" hidden="1"/>
    <col min="4611" max="4612" width="9.140625" style="19" hidden="1"/>
    <col min="4613" max="4613" width="15.42578125" style="19" hidden="1"/>
    <col min="4614" max="4862" width="9.140625" style="19" hidden="1"/>
    <col min="4863" max="4863" width="18.7109375" style="19" hidden="1"/>
    <col min="4864" max="4864" width="72" style="19" hidden="1"/>
    <col min="4865" max="4865" width="22.85546875" style="19" hidden="1"/>
    <col min="4866" max="4866" width="29.85546875" style="19" hidden="1"/>
    <col min="4867" max="4868" width="9.140625" style="19" hidden="1"/>
    <col min="4869" max="4869" width="15.42578125" style="19" hidden="1"/>
    <col min="4870" max="5118" width="9.140625" style="19" hidden="1"/>
    <col min="5119" max="5119" width="18.7109375" style="19" hidden="1"/>
    <col min="5120" max="5120" width="72" style="19" hidden="1"/>
    <col min="5121" max="5121" width="22.85546875" style="19" hidden="1"/>
    <col min="5122" max="5122" width="29.85546875" style="19" hidden="1"/>
    <col min="5123" max="5124" width="9.140625" style="19" hidden="1"/>
    <col min="5125" max="5125" width="15.42578125" style="19" hidden="1"/>
    <col min="5126" max="5374" width="9.140625" style="19" hidden="1"/>
    <col min="5375" max="5375" width="18.7109375" style="19" hidden="1"/>
    <col min="5376" max="5376" width="72" style="19" hidden="1"/>
    <col min="5377" max="5377" width="22.85546875" style="19" hidden="1"/>
    <col min="5378" max="5378" width="29.85546875" style="19" hidden="1"/>
    <col min="5379" max="5380" width="9.140625" style="19" hidden="1"/>
    <col min="5381" max="5381" width="15.42578125" style="19" hidden="1"/>
    <col min="5382" max="5630" width="9.140625" style="19" hidden="1"/>
    <col min="5631" max="5631" width="18.7109375" style="19" hidden="1"/>
    <col min="5632" max="5632" width="72" style="19" hidden="1"/>
    <col min="5633" max="5633" width="22.85546875" style="19" hidden="1"/>
    <col min="5634" max="5634" width="29.85546875" style="19" hidden="1"/>
    <col min="5635" max="5636" width="9.140625" style="19" hidden="1"/>
    <col min="5637" max="5637" width="15.42578125" style="19" hidden="1"/>
    <col min="5638" max="5886" width="9.140625" style="19" hidden="1"/>
    <col min="5887" max="5887" width="18.7109375" style="19" hidden="1"/>
    <col min="5888" max="5888" width="72" style="19" hidden="1"/>
    <col min="5889" max="5889" width="22.85546875" style="19" hidden="1"/>
    <col min="5890" max="5890" width="29.85546875" style="19" hidden="1"/>
    <col min="5891" max="5892" width="9.140625" style="19" hidden="1"/>
    <col min="5893" max="5893" width="15.42578125" style="19" hidden="1"/>
    <col min="5894" max="6142" width="9.140625" style="19" hidden="1"/>
    <col min="6143" max="6143" width="18.7109375" style="19" hidden="1"/>
    <col min="6144" max="6144" width="72" style="19" hidden="1"/>
    <col min="6145" max="6145" width="22.85546875" style="19" hidden="1"/>
    <col min="6146" max="6146" width="29.85546875" style="19" hidden="1"/>
    <col min="6147" max="6148" width="9.140625" style="19" hidden="1"/>
    <col min="6149" max="6149" width="15.42578125" style="19" hidden="1"/>
    <col min="6150" max="6398" width="9.140625" style="19" hidden="1"/>
    <col min="6399" max="6399" width="18.7109375" style="19" hidden="1"/>
    <col min="6400" max="6400" width="72" style="19" hidden="1"/>
    <col min="6401" max="6401" width="22.85546875" style="19" hidden="1"/>
    <col min="6402" max="6402" width="29.85546875" style="19" hidden="1"/>
    <col min="6403" max="6404" width="9.140625" style="19" hidden="1"/>
    <col min="6405" max="6405" width="15.42578125" style="19" hidden="1"/>
    <col min="6406" max="6654" width="9.140625" style="19" hidden="1"/>
    <col min="6655" max="6655" width="18.7109375" style="19" hidden="1"/>
    <col min="6656" max="6656" width="72" style="19" hidden="1"/>
    <col min="6657" max="6657" width="22.85546875" style="19" hidden="1"/>
    <col min="6658" max="6658" width="29.85546875" style="19" hidden="1"/>
    <col min="6659" max="6660" width="9.140625" style="19" hidden="1"/>
    <col min="6661" max="6661" width="15.42578125" style="19" hidden="1"/>
    <col min="6662" max="6910" width="9.140625" style="19" hidden="1"/>
    <col min="6911" max="6911" width="18.7109375" style="19" hidden="1"/>
    <col min="6912" max="6912" width="72" style="19" hidden="1"/>
    <col min="6913" max="6913" width="22.85546875" style="19" hidden="1"/>
    <col min="6914" max="6914" width="29.85546875" style="19" hidden="1"/>
    <col min="6915" max="6916" width="9.140625" style="19" hidden="1"/>
    <col min="6917" max="6917" width="15.42578125" style="19" hidden="1"/>
    <col min="6918" max="7166" width="9.140625" style="19" hidden="1"/>
    <col min="7167" max="7167" width="18.7109375" style="19" hidden="1"/>
    <col min="7168" max="7168" width="72" style="19" hidden="1"/>
    <col min="7169" max="7169" width="22.85546875" style="19" hidden="1"/>
    <col min="7170" max="7170" width="29.85546875" style="19" hidden="1"/>
    <col min="7171" max="7172" width="9.140625" style="19" hidden="1"/>
    <col min="7173" max="7173" width="15.42578125" style="19" hidden="1"/>
    <col min="7174" max="7422" width="9.140625" style="19" hidden="1"/>
    <col min="7423" max="7423" width="18.7109375" style="19" hidden="1"/>
    <col min="7424" max="7424" width="72" style="19" hidden="1"/>
    <col min="7425" max="7425" width="22.85546875" style="19" hidden="1"/>
    <col min="7426" max="7426" width="29.85546875" style="19" hidden="1"/>
    <col min="7427" max="7428" width="9.140625" style="19" hidden="1"/>
    <col min="7429" max="7429" width="15.42578125" style="19" hidden="1"/>
    <col min="7430" max="7678" width="9.140625" style="19" hidden="1"/>
    <col min="7679" max="7679" width="18.7109375" style="19" hidden="1"/>
    <col min="7680" max="7680" width="72" style="19" hidden="1"/>
    <col min="7681" max="7681" width="22.85546875" style="19" hidden="1"/>
    <col min="7682" max="7682" width="29.85546875" style="19" hidden="1"/>
    <col min="7683" max="7684" width="9.140625" style="19" hidden="1"/>
    <col min="7685" max="7685" width="15.42578125" style="19" hidden="1"/>
    <col min="7686" max="7934" width="9.140625" style="19" hidden="1"/>
    <col min="7935" max="7935" width="18.7109375" style="19" hidden="1"/>
    <col min="7936" max="7936" width="72" style="19" hidden="1"/>
    <col min="7937" max="7937" width="22.85546875" style="19" hidden="1"/>
    <col min="7938" max="7938" width="29.85546875" style="19" hidden="1"/>
    <col min="7939" max="7940" width="9.140625" style="19" hidden="1"/>
    <col min="7941" max="7941" width="15.42578125" style="19" hidden="1"/>
    <col min="7942" max="8190" width="9.140625" style="19" hidden="1"/>
    <col min="8191" max="8191" width="18.7109375" style="19" hidden="1"/>
    <col min="8192" max="8192" width="72" style="19" hidden="1"/>
    <col min="8193" max="8193" width="22.85546875" style="19" hidden="1"/>
    <col min="8194" max="8194" width="29.85546875" style="19" hidden="1"/>
    <col min="8195" max="8196" width="9.140625" style="19" hidden="1"/>
    <col min="8197" max="8197" width="15.42578125" style="19" hidden="1"/>
    <col min="8198" max="8446" width="9.140625" style="19" hidden="1"/>
    <col min="8447" max="8447" width="18.7109375" style="19" hidden="1"/>
    <col min="8448" max="8448" width="72" style="19" hidden="1"/>
    <col min="8449" max="8449" width="22.85546875" style="19" hidden="1"/>
    <col min="8450" max="8450" width="29.85546875" style="19" hidden="1"/>
    <col min="8451" max="8452" width="9.140625" style="19" hidden="1"/>
    <col min="8453" max="8453" width="15.42578125" style="19" hidden="1"/>
    <col min="8454" max="8702" width="9.140625" style="19" hidden="1"/>
    <col min="8703" max="8703" width="18.7109375" style="19" hidden="1"/>
    <col min="8704" max="8704" width="72" style="19" hidden="1"/>
    <col min="8705" max="8705" width="22.85546875" style="19" hidden="1"/>
    <col min="8706" max="8706" width="29.85546875" style="19" hidden="1"/>
    <col min="8707" max="8708" width="9.140625" style="19" hidden="1"/>
    <col min="8709" max="8709" width="15.42578125" style="19" hidden="1"/>
    <col min="8710" max="8958" width="9.140625" style="19" hidden="1"/>
    <col min="8959" max="8959" width="18.7109375" style="19" hidden="1"/>
    <col min="8960" max="8960" width="72" style="19" hidden="1"/>
    <col min="8961" max="8961" width="22.85546875" style="19" hidden="1"/>
    <col min="8962" max="8962" width="29.85546875" style="19" hidden="1"/>
    <col min="8963" max="8964" width="9.140625" style="19" hidden="1"/>
    <col min="8965" max="8965" width="15.42578125" style="19" hidden="1"/>
    <col min="8966" max="9214" width="9.140625" style="19" hidden="1"/>
    <col min="9215" max="9215" width="18.7109375" style="19" hidden="1"/>
    <col min="9216" max="9216" width="72" style="19" hidden="1"/>
    <col min="9217" max="9217" width="22.85546875" style="19" hidden="1"/>
    <col min="9218" max="9218" width="29.85546875" style="19" hidden="1"/>
    <col min="9219" max="9220" width="9.140625" style="19" hidden="1"/>
    <col min="9221" max="9221" width="15.42578125" style="19" hidden="1"/>
    <col min="9222" max="9470" width="9.140625" style="19" hidden="1"/>
    <col min="9471" max="9471" width="18.7109375" style="19" hidden="1"/>
    <col min="9472" max="9472" width="72" style="19" hidden="1"/>
    <col min="9473" max="9473" width="22.85546875" style="19" hidden="1"/>
    <col min="9474" max="9474" width="29.85546875" style="19" hidden="1"/>
    <col min="9475" max="9476" width="9.140625" style="19" hidden="1"/>
    <col min="9477" max="9477" width="15.42578125" style="19" hidden="1"/>
    <col min="9478" max="9726" width="9.140625" style="19" hidden="1"/>
    <col min="9727" max="9727" width="18.7109375" style="19" hidden="1"/>
    <col min="9728" max="9728" width="72" style="19" hidden="1"/>
    <col min="9729" max="9729" width="22.85546875" style="19" hidden="1"/>
    <col min="9730" max="9730" width="29.85546875" style="19" hidden="1"/>
    <col min="9731" max="9732" width="9.140625" style="19" hidden="1"/>
    <col min="9733" max="9733" width="15.42578125" style="19" hidden="1"/>
    <col min="9734" max="9982" width="9.140625" style="19" hidden="1"/>
    <col min="9983" max="9983" width="18.7109375" style="19" hidden="1"/>
    <col min="9984" max="9984" width="72" style="19" hidden="1"/>
    <col min="9985" max="9985" width="22.85546875" style="19" hidden="1"/>
    <col min="9986" max="9986" width="29.85546875" style="19" hidden="1"/>
    <col min="9987" max="9988" width="9.140625" style="19" hidden="1"/>
    <col min="9989" max="9989" width="15.42578125" style="19" hidden="1"/>
    <col min="9990" max="10238" width="9.140625" style="19" hidden="1"/>
    <col min="10239" max="10239" width="18.7109375" style="19" hidden="1"/>
    <col min="10240" max="10240" width="72" style="19" hidden="1"/>
    <col min="10241" max="10241" width="22.85546875" style="19" hidden="1"/>
    <col min="10242" max="10242" width="29.85546875" style="19" hidden="1"/>
    <col min="10243" max="10244" width="9.140625" style="19" hidden="1"/>
    <col min="10245" max="10245" width="15.42578125" style="19" hidden="1"/>
    <col min="10246" max="10494" width="9.140625" style="19" hidden="1"/>
    <col min="10495" max="10495" width="18.7109375" style="19" hidden="1"/>
    <col min="10496" max="10496" width="72" style="19" hidden="1"/>
    <col min="10497" max="10497" width="22.85546875" style="19" hidden="1"/>
    <col min="10498" max="10498" width="29.85546875" style="19" hidden="1"/>
    <col min="10499" max="10500" width="9.140625" style="19" hidden="1"/>
    <col min="10501" max="10501" width="15.42578125" style="19" hidden="1"/>
    <col min="10502" max="10750" width="9.140625" style="19" hidden="1"/>
    <col min="10751" max="10751" width="18.7109375" style="19" hidden="1"/>
    <col min="10752" max="10752" width="72" style="19" hidden="1"/>
    <col min="10753" max="10753" width="22.85546875" style="19" hidden="1"/>
    <col min="10754" max="10754" width="29.85546875" style="19" hidden="1"/>
    <col min="10755" max="10756" width="9.140625" style="19" hidden="1"/>
    <col min="10757" max="10757" width="15.42578125" style="19" hidden="1"/>
    <col min="10758" max="11006" width="9.140625" style="19" hidden="1"/>
    <col min="11007" max="11007" width="18.7109375" style="19" hidden="1"/>
    <col min="11008" max="11008" width="72" style="19" hidden="1"/>
    <col min="11009" max="11009" width="22.85546875" style="19" hidden="1"/>
    <col min="11010" max="11010" width="29.85546875" style="19" hidden="1"/>
    <col min="11011" max="11012" width="9.140625" style="19" hidden="1"/>
    <col min="11013" max="11013" width="15.42578125" style="19" hidden="1"/>
    <col min="11014" max="11262" width="9.140625" style="19" hidden="1"/>
    <col min="11263" max="11263" width="18.7109375" style="19" hidden="1"/>
    <col min="11264" max="11264" width="72" style="19" hidden="1"/>
    <col min="11265" max="11265" width="22.85546875" style="19" hidden="1"/>
    <col min="11266" max="11266" width="29.85546875" style="19" hidden="1"/>
    <col min="11267" max="11268" width="9.140625" style="19" hidden="1"/>
    <col min="11269" max="11269" width="15.42578125" style="19" hidden="1"/>
    <col min="11270" max="11518" width="9.140625" style="19" hidden="1"/>
    <col min="11519" max="11519" width="18.7109375" style="19" hidden="1"/>
    <col min="11520" max="11520" width="72" style="19" hidden="1"/>
    <col min="11521" max="11521" width="22.85546875" style="19" hidden="1"/>
    <col min="11522" max="11522" width="29.85546875" style="19" hidden="1"/>
    <col min="11523" max="11524" width="9.140625" style="19" hidden="1"/>
    <col min="11525" max="11525" width="15.42578125" style="19" hidden="1"/>
    <col min="11526" max="11774" width="9.140625" style="19" hidden="1"/>
    <col min="11775" max="11775" width="18.7109375" style="19" hidden="1"/>
    <col min="11776" max="11776" width="72" style="19" hidden="1"/>
    <col min="11777" max="11777" width="22.85546875" style="19" hidden="1"/>
    <col min="11778" max="11778" width="29.85546875" style="19" hidden="1"/>
    <col min="11779" max="11780" width="9.140625" style="19" hidden="1"/>
    <col min="11781" max="11781" width="15.42578125" style="19" hidden="1"/>
    <col min="11782" max="12030" width="9.140625" style="19" hidden="1"/>
    <col min="12031" max="12031" width="18.7109375" style="19" hidden="1"/>
    <col min="12032" max="12032" width="72" style="19" hidden="1"/>
    <col min="12033" max="12033" width="22.85546875" style="19" hidden="1"/>
    <col min="12034" max="12034" width="29.85546875" style="19" hidden="1"/>
    <col min="12035" max="12036" width="9.140625" style="19" hidden="1"/>
    <col min="12037" max="12037" width="15.42578125" style="19" hidden="1"/>
    <col min="12038" max="12286" width="9.140625" style="19" hidden="1"/>
    <col min="12287" max="12287" width="18.7109375" style="19" hidden="1"/>
    <col min="12288" max="12288" width="72" style="19" hidden="1"/>
    <col min="12289" max="12289" width="22.85546875" style="19" hidden="1"/>
    <col min="12290" max="12290" width="29.85546875" style="19" hidden="1"/>
    <col min="12291" max="12292" width="9.140625" style="19" hidden="1"/>
    <col min="12293" max="12293" width="15.42578125" style="19" hidden="1"/>
    <col min="12294" max="12542" width="9.140625" style="19" hidden="1"/>
    <col min="12543" max="12543" width="18.7109375" style="19" hidden="1"/>
    <col min="12544" max="12544" width="72" style="19" hidden="1"/>
    <col min="12545" max="12545" width="22.85546875" style="19" hidden="1"/>
    <col min="12546" max="12546" width="29.85546875" style="19" hidden="1"/>
    <col min="12547" max="12548" width="9.140625" style="19" hidden="1"/>
    <col min="12549" max="12549" width="15.42578125" style="19" hidden="1"/>
    <col min="12550" max="12798" width="9.140625" style="19" hidden="1"/>
    <col min="12799" max="12799" width="18.7109375" style="19" hidden="1"/>
    <col min="12800" max="12800" width="72" style="19" hidden="1"/>
    <col min="12801" max="12801" width="22.85546875" style="19" hidden="1"/>
    <col min="12802" max="12802" width="29.85546875" style="19" hidden="1"/>
    <col min="12803" max="12804" width="9.140625" style="19" hidden="1"/>
    <col min="12805" max="12805" width="15.42578125" style="19" hidden="1"/>
    <col min="12806" max="13054" width="9.140625" style="19" hidden="1"/>
    <col min="13055" max="13055" width="18.7109375" style="19" hidden="1"/>
    <col min="13056" max="13056" width="72" style="19" hidden="1"/>
    <col min="13057" max="13057" width="22.85546875" style="19" hidden="1"/>
    <col min="13058" max="13058" width="29.85546875" style="19" hidden="1"/>
    <col min="13059" max="13060" width="9.140625" style="19" hidden="1"/>
    <col min="13061" max="13061" width="15.42578125" style="19" hidden="1"/>
    <col min="13062" max="13310" width="9.140625" style="19" hidden="1"/>
    <col min="13311" max="13311" width="18.7109375" style="19" hidden="1"/>
    <col min="13312" max="13312" width="72" style="19" hidden="1"/>
    <col min="13313" max="13313" width="22.85546875" style="19" hidden="1"/>
    <col min="13314" max="13314" width="29.85546875" style="19" hidden="1"/>
    <col min="13315" max="13316" width="9.140625" style="19" hidden="1"/>
    <col min="13317" max="13317" width="15.42578125" style="19" hidden="1"/>
    <col min="13318" max="13566" width="9.140625" style="19" hidden="1"/>
    <col min="13567" max="13567" width="18.7109375" style="19" hidden="1"/>
    <col min="13568" max="13568" width="72" style="19" hidden="1"/>
    <col min="13569" max="13569" width="22.85546875" style="19" hidden="1"/>
    <col min="13570" max="13570" width="29.85546875" style="19" hidden="1"/>
    <col min="13571" max="13572" width="9.140625" style="19" hidden="1"/>
    <col min="13573" max="13573" width="15.42578125" style="19" hidden="1"/>
    <col min="13574" max="13822" width="9.140625" style="19" hidden="1"/>
    <col min="13823" max="13823" width="18.7109375" style="19" hidden="1"/>
    <col min="13824" max="13824" width="72" style="19" hidden="1"/>
    <col min="13825" max="13825" width="22.85546875" style="19" hidden="1"/>
    <col min="13826" max="13826" width="29.85546875" style="19" hidden="1"/>
    <col min="13827" max="13828" width="9.140625" style="19" hidden="1"/>
    <col min="13829" max="13829" width="15.42578125" style="19" hidden="1"/>
    <col min="13830" max="14078" width="9.140625" style="19" hidden="1"/>
    <col min="14079" max="14079" width="18.7109375" style="19" hidden="1"/>
    <col min="14080" max="14080" width="72" style="19" hidden="1"/>
    <col min="14081" max="14081" width="22.85546875" style="19" hidden="1"/>
    <col min="14082" max="14082" width="29.85546875" style="19" hidden="1"/>
    <col min="14083" max="14084" width="9.140625" style="19" hidden="1"/>
    <col min="14085" max="14085" width="15.42578125" style="19" hidden="1"/>
    <col min="14086" max="14334" width="9.140625" style="19" hidden="1"/>
    <col min="14335" max="14335" width="18.7109375" style="19" hidden="1"/>
    <col min="14336" max="14336" width="72" style="19" hidden="1"/>
    <col min="14337" max="14337" width="22.85546875" style="19" hidden="1"/>
    <col min="14338" max="14338" width="29.85546875" style="19" hidden="1"/>
    <col min="14339" max="14340" width="9.140625" style="19" hidden="1"/>
    <col min="14341" max="14341" width="15.42578125" style="19" hidden="1"/>
    <col min="14342" max="14590" width="9.140625" style="19" hidden="1"/>
    <col min="14591" max="14591" width="18.7109375" style="19" hidden="1"/>
    <col min="14592" max="14592" width="72" style="19" hidden="1"/>
    <col min="14593" max="14593" width="22.85546875" style="19" hidden="1"/>
    <col min="14594" max="14594" width="29.85546875" style="19" hidden="1"/>
    <col min="14595" max="14596" width="9.140625" style="19" hidden="1"/>
    <col min="14597" max="14597" width="15.42578125" style="19" hidden="1"/>
    <col min="14598" max="14846" width="9.140625" style="19" hidden="1"/>
    <col min="14847" max="14847" width="18.7109375" style="19" hidden="1"/>
    <col min="14848" max="14848" width="72" style="19" hidden="1"/>
    <col min="14849" max="14849" width="22.85546875" style="19" hidden="1"/>
    <col min="14850" max="14850" width="29.85546875" style="19" hidden="1"/>
    <col min="14851" max="14852" width="9.140625" style="19" hidden="1"/>
    <col min="14853" max="14853" width="15.42578125" style="19" hidden="1"/>
    <col min="14854" max="15102" width="9.140625" style="19" hidden="1"/>
    <col min="15103" max="15103" width="18.7109375" style="19" hidden="1"/>
    <col min="15104" max="15104" width="72" style="19" hidden="1"/>
    <col min="15105" max="15105" width="22.85546875" style="19" hidden="1"/>
    <col min="15106" max="15106" width="29.85546875" style="19" hidden="1"/>
    <col min="15107" max="15108" width="9.140625" style="19" hidden="1"/>
    <col min="15109" max="15109" width="15.42578125" style="19" hidden="1"/>
    <col min="15110" max="15358" width="9.140625" style="19" hidden="1"/>
    <col min="15359" max="15359" width="18.7109375" style="19" hidden="1"/>
    <col min="15360" max="15360" width="72" style="19" hidden="1"/>
    <col min="15361" max="15361" width="22.85546875" style="19" hidden="1"/>
    <col min="15362" max="15362" width="29.85546875" style="19" hidden="1"/>
    <col min="15363" max="15364" width="9.140625" style="19" hidden="1"/>
    <col min="15365" max="15365" width="15.42578125" style="19" hidden="1"/>
    <col min="15366" max="15614" width="9.140625" style="19" hidden="1"/>
    <col min="15615" max="15615" width="18.7109375" style="19" hidden="1"/>
    <col min="15616" max="15616" width="72" style="19" hidden="1"/>
    <col min="15617" max="15617" width="22.85546875" style="19" hidden="1"/>
    <col min="15618" max="15618" width="29.85546875" style="19" hidden="1"/>
    <col min="15619" max="15620" width="9.140625" style="19" hidden="1"/>
    <col min="15621" max="15621" width="15.42578125" style="19" hidden="1"/>
    <col min="15622" max="15870" width="9.140625" style="19" hidden="1"/>
    <col min="15871" max="15871" width="18.7109375" style="19" hidden="1"/>
    <col min="15872" max="15872" width="72" style="19" hidden="1"/>
    <col min="15873" max="15873" width="22.85546875" style="19" hidden="1"/>
    <col min="15874" max="15874" width="29.85546875" style="19" hidden="1"/>
    <col min="15875" max="15876" width="9.140625" style="19" hidden="1"/>
    <col min="15877" max="15877" width="15.42578125" style="19" hidden="1"/>
    <col min="15878" max="16126" width="9.140625" style="19" hidden="1"/>
    <col min="16127" max="16127" width="18.7109375" style="19" hidden="1"/>
    <col min="16128" max="16128" width="72" style="19" hidden="1"/>
    <col min="16129" max="16129" width="22.85546875" style="19" hidden="1"/>
    <col min="16130" max="16130" width="29.85546875" style="19" hidden="1"/>
    <col min="16131" max="16132" width="9.140625" style="19" hidden="1"/>
    <col min="16133" max="16135" width="15.42578125" style="19" hidden="1"/>
    <col min="16136" max="16384" width="9.140625" style="19" hidden="1"/>
  </cols>
  <sheetData>
    <row r="1" spans="1:7" x14ac:dyDescent="0.3">
      <c r="A1" s="392" t="s">
        <v>17</v>
      </c>
      <c r="B1" s="392"/>
      <c r="C1" s="392"/>
      <c r="D1" s="392"/>
      <c r="E1" s="18"/>
      <c r="F1" s="18"/>
      <c r="G1" s="18"/>
    </row>
    <row r="2" spans="1:7" x14ac:dyDescent="0.3">
      <c r="A2" s="393" t="s">
        <v>18</v>
      </c>
      <c r="B2" s="393"/>
      <c r="C2" s="394" t="s">
        <v>19</v>
      </c>
      <c r="D2" s="395"/>
      <c r="E2" s="18"/>
      <c r="F2" s="18"/>
      <c r="G2" s="18"/>
    </row>
    <row r="3" spans="1:7" x14ac:dyDescent="0.3">
      <c r="A3" s="393" t="s">
        <v>20</v>
      </c>
      <c r="B3" s="393"/>
      <c r="C3" s="396" t="s">
        <v>21</v>
      </c>
      <c r="D3" s="397"/>
      <c r="E3" s="18"/>
      <c r="F3" s="18"/>
      <c r="G3" s="18"/>
    </row>
    <row r="4" spans="1:7" x14ac:dyDescent="0.3">
      <c r="A4" s="379"/>
      <c r="B4" s="379"/>
      <c r="C4" s="379"/>
      <c r="D4" s="379"/>
      <c r="E4" s="18"/>
      <c r="F4" s="18"/>
      <c r="G4" s="18"/>
    </row>
    <row r="5" spans="1:7" x14ac:dyDescent="0.3">
      <c r="A5" s="379" t="s">
        <v>22</v>
      </c>
      <c r="B5" s="379"/>
      <c r="C5" s="379"/>
      <c r="D5" s="379"/>
      <c r="E5" s="18"/>
      <c r="F5" s="18"/>
      <c r="G5" s="18"/>
    </row>
    <row r="6" spans="1:7" x14ac:dyDescent="0.3">
      <c r="A6" s="125" t="s">
        <v>23</v>
      </c>
      <c r="B6" s="295" t="s">
        <v>24</v>
      </c>
      <c r="C6" s="380" t="s">
        <v>25</v>
      </c>
      <c r="D6" s="381"/>
      <c r="E6" s="18"/>
      <c r="F6" s="18"/>
      <c r="G6" s="18"/>
    </row>
    <row r="7" spans="1:7" x14ac:dyDescent="0.3">
      <c r="A7" s="125" t="s">
        <v>26</v>
      </c>
      <c r="B7" s="123" t="s">
        <v>27</v>
      </c>
      <c r="C7" s="371" t="s">
        <v>28</v>
      </c>
      <c r="D7" s="371"/>
      <c r="E7" s="18"/>
      <c r="F7" s="18"/>
      <c r="G7" s="18"/>
    </row>
    <row r="8" spans="1:7" x14ac:dyDescent="0.3">
      <c r="A8" s="20" t="s">
        <v>29</v>
      </c>
      <c r="B8" s="279" t="s">
        <v>30</v>
      </c>
      <c r="C8" s="382"/>
      <c r="D8" s="383"/>
      <c r="E8" s="18"/>
      <c r="F8" s="18"/>
      <c r="G8" s="18"/>
    </row>
    <row r="9" spans="1:7" x14ac:dyDescent="0.3">
      <c r="A9" s="125" t="s">
        <v>31</v>
      </c>
      <c r="B9" s="123" t="s">
        <v>32</v>
      </c>
      <c r="C9" s="374" t="s">
        <v>33</v>
      </c>
      <c r="D9" s="376"/>
      <c r="E9" s="18"/>
      <c r="F9" s="18"/>
      <c r="G9" s="18"/>
    </row>
    <row r="10" spans="1:7" x14ac:dyDescent="0.3">
      <c r="A10" s="125" t="s">
        <v>34</v>
      </c>
      <c r="B10" s="123" t="s">
        <v>35</v>
      </c>
      <c r="C10" s="374" t="s">
        <v>36</v>
      </c>
      <c r="D10" s="376"/>
      <c r="E10" s="18"/>
      <c r="F10" s="18"/>
      <c r="G10" s="18"/>
    </row>
    <row r="11" spans="1:7" x14ac:dyDescent="0.3">
      <c r="A11" s="125" t="s">
        <v>37</v>
      </c>
      <c r="B11" s="123" t="s">
        <v>38</v>
      </c>
      <c r="C11" s="384">
        <f>Proposta!F5</f>
        <v>1</v>
      </c>
      <c r="D11" s="385"/>
      <c r="E11" s="18"/>
      <c r="F11" s="18"/>
      <c r="G11" s="18"/>
    </row>
    <row r="12" spans="1:7" x14ac:dyDescent="0.3">
      <c r="A12" s="125" t="s">
        <v>39</v>
      </c>
      <c r="B12" s="123" t="s">
        <v>40</v>
      </c>
      <c r="C12" s="386">
        <f>Proposta!H5</f>
        <v>24</v>
      </c>
      <c r="D12" s="368"/>
      <c r="E12" s="18"/>
      <c r="F12" s="18"/>
      <c r="G12" s="18"/>
    </row>
    <row r="13" spans="1:7" x14ac:dyDescent="0.3">
      <c r="A13" s="387"/>
      <c r="B13" s="388"/>
      <c r="C13" s="388"/>
      <c r="D13" s="388"/>
      <c r="E13" s="18"/>
      <c r="F13" s="18"/>
      <c r="G13" s="18"/>
    </row>
    <row r="14" spans="1:7" x14ac:dyDescent="0.3">
      <c r="A14" s="389" t="s">
        <v>41</v>
      </c>
      <c r="B14" s="390"/>
      <c r="C14" s="390"/>
      <c r="D14" s="391"/>
      <c r="E14" s="18"/>
      <c r="F14" s="18"/>
      <c r="G14" s="18"/>
    </row>
    <row r="15" spans="1:7" x14ac:dyDescent="0.3">
      <c r="A15" s="371" t="s">
        <v>42</v>
      </c>
      <c r="B15" s="371"/>
      <c r="C15" s="371"/>
      <c r="D15" s="371"/>
      <c r="E15" s="18"/>
      <c r="F15" s="18"/>
      <c r="G15" s="18"/>
    </row>
    <row r="16" spans="1:7" x14ac:dyDescent="0.3">
      <c r="A16" s="125">
        <v>1</v>
      </c>
      <c r="B16" s="123" t="s">
        <v>43</v>
      </c>
      <c r="C16" s="374" t="s">
        <v>44</v>
      </c>
      <c r="D16" s="376" t="s">
        <v>44</v>
      </c>
      <c r="E16" s="18"/>
      <c r="F16" s="18"/>
      <c r="G16" s="18"/>
    </row>
    <row r="17" spans="1:7" x14ac:dyDescent="0.3">
      <c r="A17" s="125"/>
      <c r="B17" s="118" t="s">
        <v>181</v>
      </c>
      <c r="C17" s="367">
        <v>1</v>
      </c>
      <c r="D17" s="368">
        <v>1</v>
      </c>
      <c r="E17" s="18"/>
      <c r="F17" s="18"/>
      <c r="G17" s="18"/>
    </row>
    <row r="18" spans="1:7" x14ac:dyDescent="0.3">
      <c r="A18" s="125">
        <v>2</v>
      </c>
      <c r="B18" s="21" t="s">
        <v>46</v>
      </c>
      <c r="C18" s="369" t="s">
        <v>182</v>
      </c>
      <c r="D18" s="370"/>
      <c r="E18" s="18"/>
      <c r="F18" s="18"/>
      <c r="G18" s="18"/>
    </row>
    <row r="19" spans="1:7" x14ac:dyDescent="0.3">
      <c r="A19" s="371" t="s">
        <v>48</v>
      </c>
      <c r="B19" s="371"/>
      <c r="C19" s="371"/>
      <c r="D19" s="371"/>
      <c r="E19" s="18"/>
      <c r="F19" s="18"/>
      <c r="G19" s="18"/>
    </row>
    <row r="20" spans="1:7" x14ac:dyDescent="0.3">
      <c r="A20" s="125">
        <v>3</v>
      </c>
      <c r="B20" s="325" t="s">
        <v>49</v>
      </c>
      <c r="C20" s="326"/>
      <c r="D20" s="136">
        <v>1924</v>
      </c>
      <c r="E20" s="18"/>
      <c r="F20" s="18"/>
      <c r="G20" s="18"/>
    </row>
    <row r="21" spans="1:7" x14ac:dyDescent="0.3">
      <c r="A21" s="125">
        <v>4</v>
      </c>
      <c r="B21" s="325" t="s">
        <v>50</v>
      </c>
      <c r="C21" s="326"/>
      <c r="D21" s="137" t="s">
        <v>183</v>
      </c>
      <c r="E21" s="18"/>
      <c r="F21" s="18"/>
      <c r="G21" s="18"/>
    </row>
    <row r="22" spans="1:7" x14ac:dyDescent="0.3">
      <c r="A22" s="125">
        <v>5</v>
      </c>
      <c r="B22" s="372" t="s">
        <v>52</v>
      </c>
      <c r="C22" s="373"/>
      <c r="D22" s="138"/>
      <c r="E22" s="18"/>
      <c r="F22" s="18"/>
      <c r="G22" s="18"/>
    </row>
    <row r="23" spans="1:7" x14ac:dyDescent="0.3">
      <c r="A23" s="374"/>
      <c r="B23" s="375"/>
      <c r="C23" s="375"/>
      <c r="D23" s="376"/>
      <c r="E23" s="18"/>
      <c r="F23" s="18"/>
      <c r="G23" s="18"/>
    </row>
    <row r="24" spans="1:7" x14ac:dyDescent="0.3">
      <c r="A24" s="377" t="s">
        <v>53</v>
      </c>
      <c r="B24" s="377"/>
      <c r="C24" s="377"/>
      <c r="D24" s="377"/>
      <c r="E24" s="18"/>
      <c r="F24" s="18"/>
      <c r="G24" s="18"/>
    </row>
    <row r="25" spans="1:7" hidden="1" outlineLevel="1" x14ac:dyDescent="0.3">
      <c r="A25" s="367"/>
      <c r="B25" s="378"/>
      <c r="C25" s="378"/>
      <c r="D25" s="368"/>
      <c r="E25" s="18"/>
      <c r="F25" s="18"/>
      <c r="G25" s="18"/>
    </row>
    <row r="26" spans="1:7" hidden="1" outlineLevel="1" x14ac:dyDescent="0.3">
      <c r="A26" s="124">
        <v>1</v>
      </c>
      <c r="B26" s="327" t="s">
        <v>54</v>
      </c>
      <c r="C26" s="329"/>
      <c r="D26" s="124" t="s">
        <v>55</v>
      </c>
      <c r="E26" s="18"/>
      <c r="F26" s="18"/>
      <c r="G26" s="18"/>
    </row>
    <row r="27" spans="1:7" hidden="1" outlineLevel="1" x14ac:dyDescent="0.3">
      <c r="A27" s="125" t="s">
        <v>56</v>
      </c>
      <c r="B27" s="123" t="s">
        <v>57</v>
      </c>
      <c r="C27" s="132">
        <v>220</v>
      </c>
      <c r="D27" s="22">
        <f>D20/220*C27</f>
        <v>1924.0000000000002</v>
      </c>
      <c r="E27" s="18"/>
      <c r="F27" s="18"/>
      <c r="G27" s="18"/>
    </row>
    <row r="28" spans="1:7" hidden="1" outlineLevel="1" x14ac:dyDescent="0.3">
      <c r="A28" s="125" t="s">
        <v>26</v>
      </c>
      <c r="B28" s="123" t="s">
        <v>58</v>
      </c>
      <c r="C28" s="23">
        <v>0.3</v>
      </c>
      <c r="D28" s="22">
        <f>C28*D27</f>
        <v>577.20000000000005</v>
      </c>
      <c r="E28" s="18"/>
      <c r="F28" s="18"/>
      <c r="G28" s="18"/>
    </row>
    <row r="29" spans="1:7" hidden="1" outlineLevel="1" x14ac:dyDescent="0.3">
      <c r="A29" s="125" t="s">
        <v>29</v>
      </c>
      <c r="B29" s="123" t="s">
        <v>59</v>
      </c>
      <c r="C29" s="23">
        <v>0</v>
      </c>
      <c r="D29" s="22">
        <f>C29*D27</f>
        <v>0</v>
      </c>
      <c r="E29" s="18"/>
      <c r="F29" s="18"/>
      <c r="G29" s="18"/>
    </row>
    <row r="30" spans="1:7" hidden="1" outlineLevel="1" x14ac:dyDescent="0.3">
      <c r="A30" s="125" t="s">
        <v>31</v>
      </c>
      <c r="B30" s="123" t="s">
        <v>60</v>
      </c>
      <c r="C30" s="24">
        <v>0</v>
      </c>
      <c r="D30" s="25">
        <f>C30</f>
        <v>0</v>
      </c>
      <c r="E30" s="18"/>
      <c r="F30" s="18"/>
      <c r="G30" s="18"/>
    </row>
    <row r="31" spans="1:7" hidden="1" outlineLevel="1" x14ac:dyDescent="0.3">
      <c r="A31" s="125" t="s">
        <v>34</v>
      </c>
      <c r="B31" s="123" t="s">
        <v>61</v>
      </c>
      <c r="C31" s="23">
        <v>0</v>
      </c>
      <c r="D31" s="25">
        <f>C31*D30</f>
        <v>0</v>
      </c>
      <c r="E31" s="18"/>
      <c r="F31" s="18"/>
      <c r="G31" s="18"/>
    </row>
    <row r="32" spans="1:7" hidden="1" outlineLevel="1" x14ac:dyDescent="0.3">
      <c r="A32" s="125" t="s">
        <v>37</v>
      </c>
      <c r="B32" s="123" t="s">
        <v>62</v>
      </c>
      <c r="C32" s="24">
        <v>0</v>
      </c>
      <c r="D32" s="25">
        <f>(D20/C27)*C32</f>
        <v>0</v>
      </c>
      <c r="E32" s="18"/>
      <c r="F32" s="18"/>
      <c r="G32" s="18"/>
    </row>
    <row r="33" spans="1:7" hidden="1" outlineLevel="1" x14ac:dyDescent="0.3">
      <c r="A33" s="125" t="s">
        <v>39</v>
      </c>
      <c r="B33" s="74" t="s">
        <v>63</v>
      </c>
      <c r="C33" s="75">
        <v>0</v>
      </c>
      <c r="D33" s="76">
        <v>0</v>
      </c>
      <c r="E33" s="18"/>
      <c r="F33" s="18"/>
      <c r="G33" s="18"/>
    </row>
    <row r="34" spans="1:7" collapsed="1" x14ac:dyDescent="0.3">
      <c r="A34" s="327" t="s">
        <v>64</v>
      </c>
      <c r="B34" s="328"/>
      <c r="C34" s="329"/>
      <c r="D34" s="26">
        <f>SUM(D27:D33)</f>
        <v>2501.2000000000003</v>
      </c>
      <c r="E34" s="18"/>
      <c r="F34" s="18"/>
      <c r="G34" s="18"/>
    </row>
    <row r="35" spans="1:7" x14ac:dyDescent="0.3">
      <c r="A35" s="343"/>
      <c r="B35" s="343"/>
      <c r="C35" s="343"/>
      <c r="D35" s="343"/>
      <c r="E35" s="18"/>
      <c r="F35" s="18"/>
      <c r="G35" s="18"/>
    </row>
    <row r="36" spans="1:7" x14ac:dyDescent="0.3">
      <c r="A36" s="354" t="s">
        <v>65</v>
      </c>
      <c r="B36" s="355"/>
      <c r="C36" s="355"/>
      <c r="D36" s="356"/>
      <c r="E36" s="18"/>
      <c r="F36" s="18"/>
      <c r="G36" s="18"/>
    </row>
    <row r="37" spans="1:7" hidden="1" outlineLevel="1" x14ac:dyDescent="0.3">
      <c r="A37" s="335"/>
      <c r="B37" s="336"/>
      <c r="C37" s="336"/>
      <c r="D37" s="337"/>
      <c r="E37" s="18"/>
      <c r="F37" s="18"/>
      <c r="G37" s="18"/>
    </row>
    <row r="38" spans="1:7" hidden="1" outlineLevel="1" x14ac:dyDescent="0.3">
      <c r="A38" s="27" t="s">
        <v>66</v>
      </c>
      <c r="B38" s="28" t="s">
        <v>67</v>
      </c>
      <c r="C38" s="27" t="s">
        <v>68</v>
      </c>
      <c r="D38" s="27" t="s">
        <v>55</v>
      </c>
      <c r="E38" s="18"/>
      <c r="F38" s="18"/>
      <c r="G38" s="18"/>
    </row>
    <row r="39" spans="1:7" hidden="1" outlineLevel="2" x14ac:dyDescent="0.3">
      <c r="A39" s="29" t="s">
        <v>56</v>
      </c>
      <c r="B39" s="30" t="s">
        <v>69</v>
      </c>
      <c r="C39" s="31">
        <f>1/12</f>
        <v>8.3333333333333329E-2</v>
      </c>
      <c r="D39" s="22">
        <f>C39*D34</f>
        <v>208.43333333333334</v>
      </c>
      <c r="E39" s="18"/>
      <c r="F39" s="18"/>
      <c r="G39" s="18"/>
    </row>
    <row r="40" spans="1:7" hidden="1" outlineLevel="2" x14ac:dyDescent="0.3">
      <c r="A40" s="29" t="s">
        <v>26</v>
      </c>
      <c r="B40" s="30" t="s">
        <v>70</v>
      </c>
      <c r="C40" s="31">
        <f>IF(C12&gt;60,(1/C12/3)*5,IF(C12&gt;48,(1/C12/3)*4,IF(C12&gt;36,(1/C12/3)*3,IF(C12&gt;24,(1/C12/3)*2,IF(C12&gt;12,(1/C12/3)*1,0)))))</f>
        <v>1.3888888888888888E-2</v>
      </c>
      <c r="D40" s="22">
        <f>C40*D34</f>
        <v>34.738888888888894</v>
      </c>
      <c r="E40" s="18"/>
      <c r="F40" s="18"/>
      <c r="G40" s="18"/>
    </row>
    <row r="41" spans="1:7" hidden="1" outlineLevel="2" x14ac:dyDescent="0.3">
      <c r="A41" s="32" t="s">
        <v>71</v>
      </c>
      <c r="B41" s="30" t="s">
        <v>72</v>
      </c>
      <c r="C41" s="128">
        <v>0</v>
      </c>
      <c r="D41" s="96">
        <f>-D40*(1/3)*(C41)</f>
        <v>0</v>
      </c>
      <c r="E41" s="18"/>
      <c r="F41" s="18"/>
      <c r="G41" s="18"/>
    </row>
    <row r="42" spans="1:7" hidden="1" outlineLevel="1" collapsed="1" x14ac:dyDescent="0.3">
      <c r="A42" s="339" t="s">
        <v>73</v>
      </c>
      <c r="B42" s="341"/>
      <c r="C42" s="33">
        <f>SUM(C39:C40)</f>
        <v>9.722222222222221E-2</v>
      </c>
      <c r="D42" s="34">
        <f>SUM(D39:D41)</f>
        <v>243.17222222222222</v>
      </c>
      <c r="E42" s="18"/>
      <c r="F42" s="18"/>
      <c r="G42" s="18"/>
    </row>
    <row r="43" spans="1:7" hidden="1" outlineLevel="1" x14ac:dyDescent="0.3">
      <c r="A43" s="335"/>
      <c r="B43" s="336"/>
      <c r="C43" s="336"/>
      <c r="D43" s="337"/>
      <c r="E43" s="18"/>
      <c r="F43" s="18"/>
      <c r="G43" s="18"/>
    </row>
    <row r="44" spans="1:7" hidden="1" outlineLevel="1" x14ac:dyDescent="0.3">
      <c r="A44" s="27" t="s">
        <v>74</v>
      </c>
      <c r="B44" s="35" t="s">
        <v>75</v>
      </c>
      <c r="C44" s="27" t="s">
        <v>68</v>
      </c>
      <c r="D44" s="36" t="s">
        <v>55</v>
      </c>
      <c r="E44" s="18"/>
      <c r="F44" s="18"/>
      <c r="G44" s="18"/>
    </row>
    <row r="45" spans="1:7" hidden="1" outlineLevel="2" x14ac:dyDescent="0.3">
      <c r="A45" s="122" t="s">
        <v>56</v>
      </c>
      <c r="B45" s="37" t="s">
        <v>76</v>
      </c>
      <c r="C45" s="38">
        <v>0.2</v>
      </c>
      <c r="D45" s="22">
        <f>C45*($D$34+$D$42)</f>
        <v>548.87444444444452</v>
      </c>
      <c r="E45" s="18"/>
      <c r="F45" s="18"/>
      <c r="G45" s="18"/>
    </row>
    <row r="46" spans="1:7" hidden="1" outlineLevel="2" x14ac:dyDescent="0.3">
      <c r="A46" s="122" t="s">
        <v>26</v>
      </c>
      <c r="B46" s="37" t="s">
        <v>77</v>
      </c>
      <c r="C46" s="38">
        <v>2.5000000000000001E-2</v>
      </c>
      <c r="D46" s="22">
        <f t="shared" ref="D46:D52" si="0">C46*($D$34+$D$42)</f>
        <v>68.609305555555565</v>
      </c>
      <c r="E46" s="18"/>
      <c r="F46" s="18"/>
      <c r="G46" s="18"/>
    </row>
    <row r="47" spans="1:7" hidden="1" outlineLevel="2" x14ac:dyDescent="0.3">
      <c r="A47" s="122" t="s">
        <v>29</v>
      </c>
      <c r="B47" s="37" t="s">
        <v>78</v>
      </c>
      <c r="C47" s="127">
        <v>0.03</v>
      </c>
      <c r="D47" s="22">
        <f t="shared" si="0"/>
        <v>82.331166666666661</v>
      </c>
      <c r="E47" s="18"/>
      <c r="F47" s="18"/>
      <c r="G47" s="18"/>
    </row>
    <row r="48" spans="1:7" hidden="1" outlineLevel="2" x14ac:dyDescent="0.3">
      <c r="A48" s="122" t="s">
        <v>31</v>
      </c>
      <c r="B48" s="37" t="s">
        <v>79</v>
      </c>
      <c r="C48" s="38">
        <v>1.4999999999999999E-2</v>
      </c>
      <c r="D48" s="22">
        <f t="shared" si="0"/>
        <v>41.165583333333331</v>
      </c>
      <c r="E48" s="18"/>
      <c r="F48" s="18"/>
      <c r="G48" s="18"/>
    </row>
    <row r="49" spans="1:7" hidden="1" outlineLevel="2" x14ac:dyDescent="0.3">
      <c r="A49" s="122" t="s">
        <v>34</v>
      </c>
      <c r="B49" s="37" t="s">
        <v>80</v>
      </c>
      <c r="C49" s="38">
        <v>0.01</v>
      </c>
      <c r="D49" s="22">
        <f>C49*($D$34+$D$42)</f>
        <v>27.443722222222224</v>
      </c>
      <c r="E49" s="18"/>
      <c r="F49" s="18"/>
      <c r="G49" s="18"/>
    </row>
    <row r="50" spans="1:7" hidden="1" outlineLevel="2" x14ac:dyDescent="0.3">
      <c r="A50" s="122" t="s">
        <v>37</v>
      </c>
      <c r="B50" s="37" t="s">
        <v>81</v>
      </c>
      <c r="C50" s="38">
        <v>6.0000000000000001E-3</v>
      </c>
      <c r="D50" s="22">
        <f>C50*($D$34+$D$42)</f>
        <v>16.466233333333335</v>
      </c>
      <c r="E50" s="18"/>
      <c r="F50" s="18"/>
      <c r="G50" s="18"/>
    </row>
    <row r="51" spans="1:7" hidden="1" outlineLevel="2" x14ac:dyDescent="0.3">
      <c r="A51" s="122" t="s">
        <v>39</v>
      </c>
      <c r="B51" s="37" t="s">
        <v>82</v>
      </c>
      <c r="C51" s="38">
        <v>2E-3</v>
      </c>
      <c r="D51" s="22">
        <f t="shared" si="0"/>
        <v>5.4887444444444444</v>
      </c>
      <c r="E51" s="18"/>
      <c r="F51" s="18"/>
      <c r="G51" s="18"/>
    </row>
    <row r="52" spans="1:7" hidden="1" outlineLevel="2" x14ac:dyDescent="0.3">
      <c r="A52" s="122" t="s">
        <v>83</v>
      </c>
      <c r="B52" s="37" t="s">
        <v>84</v>
      </c>
      <c r="C52" s="38">
        <v>0.08</v>
      </c>
      <c r="D52" s="22">
        <f t="shared" si="0"/>
        <v>219.54977777777779</v>
      </c>
      <c r="E52" s="18"/>
      <c r="F52" s="18"/>
      <c r="G52" s="18"/>
    </row>
    <row r="53" spans="1:7" hidden="1" outlineLevel="1" collapsed="1" x14ac:dyDescent="0.3">
      <c r="A53" s="339" t="s">
        <v>73</v>
      </c>
      <c r="B53" s="341"/>
      <c r="C53" s="39">
        <f>SUM(C45:C52)</f>
        <v>0.36800000000000005</v>
      </c>
      <c r="D53" s="40">
        <f>SUM(D45:D52)</f>
        <v>1009.9289777777778</v>
      </c>
      <c r="E53" s="18"/>
      <c r="F53" s="18"/>
      <c r="G53" s="18"/>
    </row>
    <row r="54" spans="1:7" hidden="1" outlineLevel="1" x14ac:dyDescent="0.3">
      <c r="A54" s="335"/>
      <c r="B54" s="336"/>
      <c r="C54" s="336"/>
      <c r="D54" s="337"/>
      <c r="E54" s="18"/>
      <c r="F54" s="18"/>
      <c r="G54" s="18"/>
    </row>
    <row r="55" spans="1:7" hidden="1" outlineLevel="1" x14ac:dyDescent="0.3">
      <c r="A55" s="27" t="s">
        <v>85</v>
      </c>
      <c r="B55" s="35" t="s">
        <v>86</v>
      </c>
      <c r="C55" s="27" t="s">
        <v>87</v>
      </c>
      <c r="D55" s="27" t="s">
        <v>55</v>
      </c>
      <c r="E55" s="18"/>
      <c r="F55" s="18"/>
      <c r="G55" s="18"/>
    </row>
    <row r="56" spans="1:7" hidden="1" outlineLevel="2" x14ac:dyDescent="0.3">
      <c r="A56" s="122" t="s">
        <v>56</v>
      </c>
      <c r="B56" s="37" t="s">
        <v>88</v>
      </c>
      <c r="C56" s="41">
        <v>3.99</v>
      </c>
      <c r="D56" s="42">
        <f>(21*2*C56)-(D27*6%)</f>
        <v>52.14</v>
      </c>
      <c r="E56" s="72"/>
      <c r="F56" s="18"/>
      <c r="G56" s="18"/>
    </row>
    <row r="57" spans="1:7" hidden="1" outlineLevel="2" x14ac:dyDescent="0.3">
      <c r="A57" s="122" t="s">
        <v>26</v>
      </c>
      <c r="B57" s="37" t="s">
        <v>89</v>
      </c>
      <c r="C57" s="73">
        <v>21.9</v>
      </c>
      <c r="D57" s="42">
        <f>21*C57</f>
        <v>459.9</v>
      </c>
      <c r="E57" s="18"/>
      <c r="F57" s="18"/>
      <c r="G57" s="18"/>
    </row>
    <row r="58" spans="1:7" hidden="1" outlineLevel="2" x14ac:dyDescent="0.3">
      <c r="A58" s="69" t="s">
        <v>90</v>
      </c>
      <c r="B58" s="280" t="s">
        <v>91</v>
      </c>
      <c r="C58" s="281">
        <v>-0.01</v>
      </c>
      <c r="D58" s="282">
        <f>D57*C58</f>
        <v>-4.5990000000000002</v>
      </c>
      <c r="E58" s="18"/>
      <c r="F58" s="18"/>
      <c r="G58" s="18"/>
    </row>
    <row r="59" spans="1:7" hidden="1" outlineLevel="2" x14ac:dyDescent="0.3">
      <c r="A59" s="122" t="s">
        <v>29</v>
      </c>
      <c r="B59" s="139" t="s">
        <v>92</v>
      </c>
      <c r="C59" s="73">
        <v>14</v>
      </c>
      <c r="D59" s="140">
        <f>C59</f>
        <v>14</v>
      </c>
      <c r="E59" s="18"/>
      <c r="F59" s="18"/>
      <c r="G59" s="18"/>
    </row>
    <row r="60" spans="1:7" hidden="1" outlineLevel="2" x14ac:dyDescent="0.3">
      <c r="A60" s="122" t="s">
        <v>31</v>
      </c>
      <c r="B60" s="141" t="s">
        <v>93</v>
      </c>
      <c r="C60" s="73">
        <v>0</v>
      </c>
      <c r="D60" s="140">
        <f>C60</f>
        <v>0</v>
      </c>
      <c r="E60" s="18"/>
      <c r="F60" s="18"/>
      <c r="G60" s="18"/>
    </row>
    <row r="61" spans="1:7" hidden="1" outlineLevel="2" x14ac:dyDescent="0.3">
      <c r="A61" s="122" t="s">
        <v>34</v>
      </c>
      <c r="B61" s="139" t="s">
        <v>94</v>
      </c>
      <c r="C61" s="133">
        <v>0</v>
      </c>
      <c r="D61" s="140">
        <f>C61*D34</f>
        <v>0</v>
      </c>
      <c r="E61" s="18"/>
      <c r="F61" s="18"/>
      <c r="G61" s="18"/>
    </row>
    <row r="62" spans="1:7" hidden="1" outlineLevel="2" x14ac:dyDescent="0.3">
      <c r="A62" s="122" t="s">
        <v>37</v>
      </c>
      <c r="B62" s="139" t="s">
        <v>95</v>
      </c>
      <c r="C62" s="133">
        <v>0</v>
      </c>
      <c r="D62" s="140"/>
      <c r="E62" s="18"/>
      <c r="F62" s="18"/>
      <c r="G62" s="18"/>
    </row>
    <row r="63" spans="1:7" hidden="1" outlineLevel="2" x14ac:dyDescent="0.3">
      <c r="A63" s="122" t="s">
        <v>39</v>
      </c>
      <c r="B63" s="139" t="s">
        <v>63</v>
      </c>
      <c r="C63" s="73"/>
      <c r="D63" s="142">
        <f>C63</f>
        <v>0</v>
      </c>
      <c r="E63" s="18"/>
      <c r="F63" s="18"/>
      <c r="G63" s="18"/>
    </row>
    <row r="64" spans="1:7" hidden="1" outlineLevel="1" collapsed="1" x14ac:dyDescent="0.3">
      <c r="A64" s="339" t="s">
        <v>96</v>
      </c>
      <c r="B64" s="340"/>
      <c r="C64" s="341"/>
      <c r="D64" s="34">
        <f>SUM(D56:D63)</f>
        <v>521.44100000000003</v>
      </c>
      <c r="E64" s="18"/>
      <c r="F64" s="18"/>
      <c r="G64" s="18"/>
    </row>
    <row r="65" spans="1:7" hidden="1" outlineLevel="1" x14ac:dyDescent="0.3">
      <c r="A65" s="335"/>
      <c r="B65" s="336"/>
      <c r="C65" s="336"/>
      <c r="D65" s="337"/>
      <c r="E65" s="18"/>
      <c r="F65" s="18"/>
      <c r="G65" s="18"/>
    </row>
    <row r="66" spans="1:7" hidden="1" outlineLevel="1" x14ac:dyDescent="0.3">
      <c r="A66" s="357" t="s">
        <v>97</v>
      </c>
      <c r="B66" s="358"/>
      <c r="C66" s="27" t="s">
        <v>68</v>
      </c>
      <c r="D66" s="27" t="s">
        <v>55</v>
      </c>
      <c r="E66" s="18"/>
      <c r="F66" s="18"/>
      <c r="G66" s="18"/>
    </row>
    <row r="67" spans="1:7" hidden="1" outlineLevel="1" x14ac:dyDescent="0.3">
      <c r="A67" s="122" t="s">
        <v>98</v>
      </c>
      <c r="B67" s="37" t="s">
        <v>67</v>
      </c>
      <c r="C67" s="43">
        <f>C42</f>
        <v>9.722222222222221E-2</v>
      </c>
      <c r="D67" s="22">
        <f>D42</f>
        <v>243.17222222222222</v>
      </c>
      <c r="E67" s="18"/>
      <c r="F67" s="18"/>
      <c r="G67" s="18"/>
    </row>
    <row r="68" spans="1:7" hidden="1" outlineLevel="1" x14ac:dyDescent="0.3">
      <c r="A68" s="122" t="s">
        <v>74</v>
      </c>
      <c r="B68" s="37" t="s">
        <v>75</v>
      </c>
      <c r="C68" s="43">
        <f>C53</f>
        <v>0.36800000000000005</v>
      </c>
      <c r="D68" s="22">
        <f>D53</f>
        <v>1009.9289777777778</v>
      </c>
      <c r="E68" s="18"/>
      <c r="F68" s="18"/>
      <c r="G68" s="18"/>
    </row>
    <row r="69" spans="1:7" hidden="1" outlineLevel="1" x14ac:dyDescent="0.3">
      <c r="A69" s="122" t="s">
        <v>99</v>
      </c>
      <c r="B69" s="37" t="s">
        <v>86</v>
      </c>
      <c r="C69" s="43">
        <f>D64/D34</f>
        <v>0.20847633136094673</v>
      </c>
      <c r="D69" s="22">
        <f>D64</f>
        <v>521.44100000000003</v>
      </c>
      <c r="E69" s="18"/>
      <c r="F69" s="18"/>
      <c r="G69" s="18"/>
    </row>
    <row r="70" spans="1:7" collapsed="1" x14ac:dyDescent="0.3">
      <c r="A70" s="339" t="s">
        <v>73</v>
      </c>
      <c r="B70" s="340"/>
      <c r="C70" s="341"/>
      <c r="D70" s="34">
        <f>SUM(D67:D69)</f>
        <v>1774.5422000000001</v>
      </c>
      <c r="E70" s="18"/>
      <c r="F70" s="18"/>
      <c r="G70" s="18"/>
    </row>
    <row r="71" spans="1:7" x14ac:dyDescent="0.3">
      <c r="A71" s="335"/>
      <c r="B71" s="336"/>
      <c r="C71" s="336"/>
      <c r="D71" s="337"/>
      <c r="E71" s="18"/>
      <c r="F71" s="18"/>
      <c r="G71" s="18"/>
    </row>
    <row r="72" spans="1:7" x14ac:dyDescent="0.3">
      <c r="A72" s="364" t="s">
        <v>100</v>
      </c>
      <c r="B72" s="365"/>
      <c r="C72" s="365"/>
      <c r="D72" s="366"/>
      <c r="E72" s="18"/>
      <c r="F72" s="18"/>
      <c r="G72" s="18"/>
    </row>
    <row r="73" spans="1:7" hidden="1" outlineLevel="1" x14ac:dyDescent="0.3">
      <c r="A73" s="335"/>
      <c r="B73" s="336"/>
      <c r="C73" s="336"/>
      <c r="D73" s="337"/>
      <c r="E73" s="18"/>
      <c r="F73" s="18"/>
      <c r="G73" s="18"/>
    </row>
    <row r="74" spans="1:7" hidden="1" outlineLevel="1" x14ac:dyDescent="0.3">
      <c r="A74" s="124" t="s">
        <v>101</v>
      </c>
      <c r="B74" s="28" t="s">
        <v>102</v>
      </c>
      <c r="C74" s="27" t="s">
        <v>68</v>
      </c>
      <c r="D74" s="27" t="s">
        <v>55</v>
      </c>
      <c r="E74" s="18"/>
      <c r="F74" s="18"/>
      <c r="G74" s="18"/>
    </row>
    <row r="75" spans="1:7" hidden="1" outlineLevel="2" x14ac:dyDescent="0.3">
      <c r="A75" s="44" t="s">
        <v>56</v>
      </c>
      <c r="B75" s="45" t="s">
        <v>103</v>
      </c>
      <c r="C75" s="44" t="s">
        <v>104</v>
      </c>
      <c r="D75" s="46">
        <f>IF(C86&gt;1,SUM(D76:D79)*2,SUM(D76:D79))</f>
        <v>3524.7466222222229</v>
      </c>
      <c r="E75" s="18"/>
      <c r="F75" s="18"/>
      <c r="G75" s="18"/>
    </row>
    <row r="76" spans="1:7" hidden="1" outlineLevel="3" x14ac:dyDescent="0.3">
      <c r="A76" s="47" t="s">
        <v>105</v>
      </c>
      <c r="B76" s="48" t="s">
        <v>106</v>
      </c>
      <c r="C76" s="44">
        <f>(IF(C12&gt;60,45,IF(C12&gt;48,42,IF(C12&gt;36,39,IF(C12&gt;24,36,IF(C12&gt;12,33,30)))))/30)</f>
        <v>1.1000000000000001</v>
      </c>
      <c r="D76" s="46">
        <f>D34*C76</f>
        <v>2751.3200000000006</v>
      </c>
      <c r="E76" s="18"/>
      <c r="F76" s="18"/>
      <c r="G76" s="18"/>
    </row>
    <row r="77" spans="1:7" hidden="1" outlineLevel="3" x14ac:dyDescent="0.3">
      <c r="A77" s="47" t="s">
        <v>107</v>
      </c>
      <c r="B77" s="48" t="s">
        <v>108</v>
      </c>
      <c r="C77" s="31">
        <f>1/12</f>
        <v>8.3333333333333329E-2</v>
      </c>
      <c r="D77" s="46">
        <f>C77*D76</f>
        <v>229.2766666666667</v>
      </c>
      <c r="E77" s="18"/>
      <c r="F77" s="18"/>
      <c r="G77" s="18"/>
    </row>
    <row r="78" spans="1:7" hidden="1" outlineLevel="3" x14ac:dyDescent="0.3">
      <c r="A78" s="47" t="s">
        <v>109</v>
      </c>
      <c r="B78" s="48" t="s">
        <v>110</v>
      </c>
      <c r="C78" s="31">
        <f>(1/12)+(1/12/3)</f>
        <v>0.1111111111111111</v>
      </c>
      <c r="D78" s="49">
        <f>C78*D76</f>
        <v>305.70222222222225</v>
      </c>
      <c r="E78" s="18"/>
      <c r="F78" s="18"/>
      <c r="G78" s="18"/>
    </row>
    <row r="79" spans="1:7" hidden="1" outlineLevel="3" x14ac:dyDescent="0.3">
      <c r="A79" s="47" t="s">
        <v>111</v>
      </c>
      <c r="B79" s="48" t="s">
        <v>112</v>
      </c>
      <c r="C79" s="50">
        <v>0.08</v>
      </c>
      <c r="D79" s="46">
        <f>SUM(D76:D77)*C79</f>
        <v>238.44773333333339</v>
      </c>
      <c r="E79" s="18"/>
      <c r="F79" s="18"/>
      <c r="G79" s="18"/>
    </row>
    <row r="80" spans="1:7" hidden="1" outlineLevel="2" collapsed="1" x14ac:dyDescent="0.3">
      <c r="A80" s="44" t="s">
        <v>26</v>
      </c>
      <c r="B80" s="45" t="s">
        <v>113</v>
      </c>
      <c r="C80" s="51">
        <v>0.4</v>
      </c>
      <c r="D80" s="46">
        <f>C80*D81</f>
        <v>2107.6778666666669</v>
      </c>
      <c r="E80" s="18"/>
      <c r="F80" s="18"/>
      <c r="G80" s="18"/>
    </row>
    <row r="81" spans="1:7" hidden="1" outlineLevel="3" x14ac:dyDescent="0.3">
      <c r="A81" s="44" t="s">
        <v>71</v>
      </c>
      <c r="B81" s="45" t="s">
        <v>114</v>
      </c>
      <c r="C81" s="51">
        <f>C52</f>
        <v>0.08</v>
      </c>
      <c r="D81" s="46">
        <f>C81*D82</f>
        <v>5269.1946666666672</v>
      </c>
      <c r="E81" s="18"/>
      <c r="F81" s="18"/>
      <c r="G81" s="18"/>
    </row>
    <row r="82" spans="1:7" hidden="1" outlineLevel="3" x14ac:dyDescent="0.3">
      <c r="A82" s="44" t="s">
        <v>115</v>
      </c>
      <c r="B82" s="52" t="s">
        <v>116</v>
      </c>
      <c r="C82" s="53" t="s">
        <v>104</v>
      </c>
      <c r="D82" s="49">
        <f>SUM(D83:D85)</f>
        <v>65864.933333333334</v>
      </c>
      <c r="E82" s="18"/>
      <c r="F82" s="18"/>
      <c r="G82" s="18"/>
    </row>
    <row r="83" spans="1:7" hidden="1" outlineLevel="3" x14ac:dyDescent="0.3">
      <c r="A83" s="47" t="s">
        <v>117</v>
      </c>
      <c r="B83" s="48" t="s">
        <v>118</v>
      </c>
      <c r="C83" s="54">
        <f>C12-C85</f>
        <v>23</v>
      </c>
      <c r="D83" s="46">
        <f>D34*C83</f>
        <v>57527.600000000006</v>
      </c>
      <c r="E83" s="18"/>
      <c r="F83" s="18"/>
      <c r="G83" s="18"/>
    </row>
    <row r="84" spans="1:7" hidden="1" outlineLevel="3" x14ac:dyDescent="0.3">
      <c r="A84" s="47" t="s">
        <v>119</v>
      </c>
      <c r="B84" s="48" t="s">
        <v>120</v>
      </c>
      <c r="C84" s="55">
        <f>C12/12</f>
        <v>2</v>
      </c>
      <c r="D84" s="46">
        <f>D34*C84</f>
        <v>5002.4000000000005</v>
      </c>
      <c r="E84" s="18"/>
      <c r="F84" s="18"/>
      <c r="G84" s="18"/>
    </row>
    <row r="85" spans="1:7" hidden="1" outlineLevel="3" x14ac:dyDescent="0.3">
      <c r="A85" s="47" t="s">
        <v>121</v>
      </c>
      <c r="B85" s="48" t="s">
        <v>122</v>
      </c>
      <c r="C85" s="53">
        <f>IF(C12&gt;60,5,IF(C12&gt;48,4,IF(C12&gt;36,3,IF(C12&gt;24,2,IF(C12&gt;12,1,0)))))</f>
        <v>1</v>
      </c>
      <c r="D85" s="49">
        <f>D34*C85*1.33333333333333</f>
        <v>3334.9333333333252</v>
      </c>
      <c r="E85" s="18"/>
      <c r="F85" s="18"/>
      <c r="G85" s="18"/>
    </row>
    <row r="86" spans="1:7" hidden="1" outlineLevel="1" collapsed="1" x14ac:dyDescent="0.3">
      <c r="A86" s="339" t="s">
        <v>73</v>
      </c>
      <c r="B86" s="341"/>
      <c r="C86" s="129">
        <v>0.1</v>
      </c>
      <c r="D86" s="34">
        <f>IF(C86&gt;1,D75+D80,(D75+D80)*C86)</f>
        <v>563.24244888888904</v>
      </c>
      <c r="E86" s="18"/>
      <c r="F86" s="18"/>
      <c r="G86" s="18"/>
    </row>
    <row r="87" spans="1:7" hidden="1" outlineLevel="1" x14ac:dyDescent="0.3">
      <c r="A87" s="351"/>
      <c r="B87" s="352"/>
      <c r="C87" s="352"/>
      <c r="D87" s="353"/>
      <c r="E87" s="18"/>
      <c r="F87" s="18"/>
      <c r="G87" s="18"/>
    </row>
    <row r="88" spans="1:7" hidden="1" outlineLevel="1" x14ac:dyDescent="0.3">
      <c r="A88" s="124" t="s">
        <v>123</v>
      </c>
      <c r="B88" s="28" t="s">
        <v>124</v>
      </c>
      <c r="C88" s="27" t="s">
        <v>68</v>
      </c>
      <c r="D88" s="27" t="s">
        <v>55</v>
      </c>
      <c r="E88" s="18"/>
      <c r="F88" s="18"/>
      <c r="G88" s="18"/>
    </row>
    <row r="89" spans="1:7" hidden="1" outlineLevel="2" x14ac:dyDescent="0.3">
      <c r="A89" s="44" t="s">
        <v>56</v>
      </c>
      <c r="B89" s="52" t="s">
        <v>125</v>
      </c>
      <c r="C89" s="56">
        <f>IF(C98&gt;1,(1/30*7)*2,(1/30*7))</f>
        <v>0.23333333333333334</v>
      </c>
      <c r="D89" s="49">
        <f>C89*SUM(D90:D94)</f>
        <v>1051.4304525925927</v>
      </c>
      <c r="E89" s="18"/>
      <c r="F89" s="18"/>
      <c r="G89" s="18"/>
    </row>
    <row r="90" spans="1:7" hidden="1" outlineLevel="3" x14ac:dyDescent="0.3">
      <c r="A90" s="47" t="s">
        <v>105</v>
      </c>
      <c r="B90" s="48" t="s">
        <v>126</v>
      </c>
      <c r="C90" s="44">
        <v>1</v>
      </c>
      <c r="D90" s="46">
        <f>D34</f>
        <v>2501.2000000000003</v>
      </c>
      <c r="E90" s="18"/>
      <c r="F90" s="18"/>
      <c r="G90" s="18"/>
    </row>
    <row r="91" spans="1:7" hidden="1" outlineLevel="3" x14ac:dyDescent="0.3">
      <c r="A91" s="47" t="s">
        <v>107</v>
      </c>
      <c r="B91" s="48" t="s">
        <v>127</v>
      </c>
      <c r="C91" s="31">
        <f>1/12</f>
        <v>8.3333333333333329E-2</v>
      </c>
      <c r="D91" s="46">
        <f>C91*D90</f>
        <v>208.43333333333334</v>
      </c>
      <c r="E91" s="18"/>
      <c r="F91" s="18"/>
      <c r="G91" s="18"/>
    </row>
    <row r="92" spans="1:7" hidden="1" outlineLevel="3" x14ac:dyDescent="0.3">
      <c r="A92" s="47" t="s">
        <v>109</v>
      </c>
      <c r="B92" s="48" t="s">
        <v>128</v>
      </c>
      <c r="C92" s="31">
        <f>(1/12)+(1/12/3)</f>
        <v>0.1111111111111111</v>
      </c>
      <c r="D92" s="46">
        <f>C92*D90</f>
        <v>277.91111111111115</v>
      </c>
      <c r="E92" s="18"/>
      <c r="F92" s="18"/>
      <c r="G92" s="18"/>
    </row>
    <row r="93" spans="1:7" hidden="1" outlineLevel="3" x14ac:dyDescent="0.3">
      <c r="A93" s="47" t="s">
        <v>111</v>
      </c>
      <c r="B93" s="57" t="s">
        <v>129</v>
      </c>
      <c r="C93" s="58">
        <f>C53</f>
        <v>0.36800000000000005</v>
      </c>
      <c r="D93" s="49">
        <f>C93*(D90+D91)</f>
        <v>997.14506666666693</v>
      </c>
      <c r="E93" s="18"/>
      <c r="F93" s="18"/>
      <c r="G93" s="18"/>
    </row>
    <row r="94" spans="1:7" hidden="1" outlineLevel="3" x14ac:dyDescent="0.3">
      <c r="A94" s="47" t="s">
        <v>130</v>
      </c>
      <c r="B94" s="57" t="s">
        <v>131</v>
      </c>
      <c r="C94" s="53">
        <v>1</v>
      </c>
      <c r="D94" s="49">
        <f>D64</f>
        <v>521.44100000000003</v>
      </c>
      <c r="E94" s="18"/>
      <c r="F94" s="18"/>
      <c r="G94" s="18"/>
    </row>
    <row r="95" spans="1:7" hidden="1" outlineLevel="2" collapsed="1" x14ac:dyDescent="0.3">
      <c r="A95" s="44" t="s">
        <v>26</v>
      </c>
      <c r="B95" s="45" t="s">
        <v>132</v>
      </c>
      <c r="C95" s="51">
        <v>0.4</v>
      </c>
      <c r="D95" s="46">
        <f>C95*D96</f>
        <v>2107.6778666666669</v>
      </c>
      <c r="E95" s="59"/>
      <c r="F95" s="18"/>
      <c r="G95" s="18"/>
    </row>
    <row r="96" spans="1:7" hidden="1" outlineLevel="3" x14ac:dyDescent="0.3">
      <c r="A96" s="44" t="s">
        <v>71</v>
      </c>
      <c r="B96" s="45" t="s">
        <v>114</v>
      </c>
      <c r="C96" s="51">
        <f>C52</f>
        <v>0.08</v>
      </c>
      <c r="D96" s="46">
        <f>C96*D97</f>
        <v>5269.1946666666672</v>
      </c>
      <c r="E96" s="18"/>
      <c r="F96" s="18"/>
      <c r="G96" s="18"/>
    </row>
    <row r="97" spans="1:7" hidden="1" outlineLevel="3" x14ac:dyDescent="0.3">
      <c r="A97" s="44" t="s">
        <v>115</v>
      </c>
      <c r="B97" s="52" t="s">
        <v>116</v>
      </c>
      <c r="C97" s="53" t="s">
        <v>104</v>
      </c>
      <c r="D97" s="49">
        <f>D82</f>
        <v>65864.933333333334</v>
      </c>
      <c r="E97" s="18"/>
      <c r="F97" s="18"/>
      <c r="G97" s="18"/>
    </row>
    <row r="98" spans="1:7" hidden="1" outlineLevel="1" collapsed="1" x14ac:dyDescent="0.3">
      <c r="A98" s="339" t="s">
        <v>73</v>
      </c>
      <c r="B98" s="341"/>
      <c r="C98" s="129">
        <v>0.9</v>
      </c>
      <c r="D98" s="34">
        <f>IF(C98&gt;1,D89+D95,(D89+D95)*C98)</f>
        <v>2843.1974873333338</v>
      </c>
      <c r="E98" s="18"/>
      <c r="F98" s="18"/>
      <c r="G98" s="18"/>
    </row>
    <row r="99" spans="1:7" hidden="1" outlineLevel="1" x14ac:dyDescent="0.3">
      <c r="A99" s="351"/>
      <c r="B99" s="352"/>
      <c r="C99" s="352"/>
      <c r="D99" s="353"/>
      <c r="E99" s="18"/>
      <c r="F99" s="18"/>
      <c r="G99" s="18"/>
    </row>
    <row r="100" spans="1:7" hidden="1" outlineLevel="1" x14ac:dyDescent="0.3">
      <c r="A100" s="124" t="s">
        <v>133</v>
      </c>
      <c r="B100" s="28" t="s">
        <v>134</v>
      </c>
      <c r="C100" s="27" t="s">
        <v>68</v>
      </c>
      <c r="D100" s="27" t="s">
        <v>55</v>
      </c>
      <c r="E100" s="18"/>
      <c r="F100" s="18"/>
      <c r="G100" s="18"/>
    </row>
    <row r="101" spans="1:7" hidden="1" outlineLevel="2" x14ac:dyDescent="0.3">
      <c r="A101" s="122" t="s">
        <v>56</v>
      </c>
      <c r="B101" s="37" t="s">
        <v>135</v>
      </c>
      <c r="C101" s="43">
        <f>IF(C12&gt;60,(D34/12*(C12-60))/C12/D34,IF(C12&gt;48,(D34/12*(C12-48))/C12/D34,IF(C12&gt;36,(D34/12*(C12-36))/C12/D34,IF(C12&gt;24,(D34/12*(C12-24))/C12/D34,IF(C12&gt;12,((D34/12*(C12-12))/C12/D34),1/12)))))</f>
        <v>4.1666666666666671E-2</v>
      </c>
      <c r="D101" s="60">
        <f>C101*D34</f>
        <v>104.21666666666668</v>
      </c>
      <c r="E101" s="18"/>
      <c r="F101" s="18"/>
      <c r="G101" s="18"/>
    </row>
    <row r="102" spans="1:7" hidden="1" outlineLevel="2" x14ac:dyDescent="0.3">
      <c r="A102" s="122" t="s">
        <v>26</v>
      </c>
      <c r="B102" s="61" t="s">
        <v>136</v>
      </c>
      <c r="C102" s="43">
        <f>C101/3</f>
        <v>1.388888888888889E-2</v>
      </c>
      <c r="D102" s="62">
        <f>C102*D34</f>
        <v>34.738888888888894</v>
      </c>
      <c r="E102" s="18"/>
      <c r="F102" s="18"/>
      <c r="G102" s="18"/>
    </row>
    <row r="103" spans="1:7" hidden="1" outlineLevel="2" x14ac:dyDescent="0.3">
      <c r="A103" s="122" t="s">
        <v>29</v>
      </c>
      <c r="B103" s="63" t="s">
        <v>137</v>
      </c>
      <c r="C103" s="67">
        <f>C41</f>
        <v>0</v>
      </c>
      <c r="D103" s="22">
        <f>-D41*4</f>
        <v>0</v>
      </c>
      <c r="E103" s="18"/>
      <c r="F103" s="18"/>
      <c r="G103" s="18"/>
    </row>
    <row r="104" spans="1:7" ht="15.75" hidden="1" customHeight="1" outlineLevel="1" collapsed="1" x14ac:dyDescent="0.3">
      <c r="A104" s="339" t="s">
        <v>73</v>
      </c>
      <c r="B104" s="341"/>
      <c r="C104" s="33">
        <f>C101+C102+(D103/D34)</f>
        <v>5.5555555555555559E-2</v>
      </c>
      <c r="D104" s="34">
        <f>SUM(D101:D103)</f>
        <v>138.95555555555558</v>
      </c>
      <c r="E104" s="18"/>
      <c r="F104" s="18"/>
      <c r="G104" s="18"/>
    </row>
    <row r="105" spans="1:7" hidden="1" outlineLevel="1" x14ac:dyDescent="0.3">
      <c r="A105" s="351"/>
      <c r="B105" s="352"/>
      <c r="C105" s="352"/>
      <c r="D105" s="353"/>
      <c r="E105" s="59"/>
      <c r="F105" s="18"/>
      <c r="G105" s="18"/>
    </row>
    <row r="106" spans="1:7" hidden="1" outlineLevel="1" x14ac:dyDescent="0.3">
      <c r="A106" s="357" t="s">
        <v>138</v>
      </c>
      <c r="B106" s="358"/>
      <c r="C106" s="27" t="s">
        <v>68</v>
      </c>
      <c r="D106" s="27" t="s">
        <v>55</v>
      </c>
      <c r="E106" s="59"/>
      <c r="F106" s="18"/>
      <c r="G106" s="18"/>
    </row>
    <row r="107" spans="1:7" hidden="1" outlineLevel="1" x14ac:dyDescent="0.3">
      <c r="A107" s="122" t="s">
        <v>101</v>
      </c>
      <c r="B107" s="37" t="s">
        <v>102</v>
      </c>
      <c r="C107" s="43">
        <f>C86</f>
        <v>0.1</v>
      </c>
      <c r="D107" s="22">
        <f>D86</f>
        <v>563.24244888888904</v>
      </c>
      <c r="E107" s="59"/>
      <c r="F107" s="18"/>
      <c r="G107" s="18"/>
    </row>
    <row r="108" spans="1:7" hidden="1" outlineLevel="1" x14ac:dyDescent="0.3">
      <c r="A108" s="29" t="s">
        <v>123</v>
      </c>
      <c r="B108" s="37" t="s">
        <v>124</v>
      </c>
      <c r="C108" s="64">
        <f>C98</f>
        <v>0.9</v>
      </c>
      <c r="D108" s="22">
        <f>D98</f>
        <v>2843.1974873333338</v>
      </c>
      <c r="E108" s="59"/>
      <c r="F108" s="18"/>
      <c r="G108" s="18"/>
    </row>
    <row r="109" spans="1:7" hidden="1" outlineLevel="1" x14ac:dyDescent="0.3">
      <c r="A109" s="359" t="s">
        <v>139</v>
      </c>
      <c r="B109" s="359"/>
      <c r="C109" s="359"/>
      <c r="D109" s="65">
        <f>D107+D108</f>
        <v>3406.439936222223</v>
      </c>
      <c r="E109" s="59"/>
      <c r="F109" s="18"/>
      <c r="G109" s="18"/>
    </row>
    <row r="110" spans="1:7" hidden="1" outlineLevel="1" x14ac:dyDescent="0.3">
      <c r="A110" s="360" t="s">
        <v>140</v>
      </c>
      <c r="B110" s="361"/>
      <c r="C110" s="130">
        <v>0.71030000000000004</v>
      </c>
      <c r="D110" s="97">
        <f>C110*D109</f>
        <v>2419.5942866986452</v>
      </c>
      <c r="E110" s="59"/>
      <c r="F110" s="18"/>
      <c r="G110" s="18"/>
    </row>
    <row r="111" spans="1:7" hidden="1" outlineLevel="1" x14ac:dyDescent="0.3">
      <c r="A111" s="362" t="s">
        <v>141</v>
      </c>
      <c r="B111" s="363"/>
      <c r="C111" s="135">
        <f>1/C12</f>
        <v>4.1666666666666664E-2</v>
      </c>
      <c r="D111" s="105">
        <f>D110*C111</f>
        <v>100.81642861244354</v>
      </c>
      <c r="E111" s="59"/>
      <c r="F111" s="18"/>
      <c r="G111" s="18"/>
    </row>
    <row r="112" spans="1:7" hidden="1" outlineLevel="1" x14ac:dyDescent="0.3">
      <c r="A112" s="29" t="s">
        <v>133</v>
      </c>
      <c r="B112" s="37" t="s">
        <v>142</v>
      </c>
      <c r="C112" s="64"/>
      <c r="D112" s="96">
        <f>D104</f>
        <v>138.95555555555558</v>
      </c>
      <c r="E112" s="59"/>
      <c r="F112" s="18"/>
      <c r="G112" s="18"/>
    </row>
    <row r="113" spans="1:7" collapsed="1" x14ac:dyDescent="0.3">
      <c r="A113" s="339" t="s">
        <v>143</v>
      </c>
      <c r="B113" s="341"/>
      <c r="C113" s="33"/>
      <c r="D113" s="66">
        <f>D111+D112</f>
        <v>239.77198416799911</v>
      </c>
      <c r="E113" s="18"/>
      <c r="F113" s="18"/>
      <c r="G113" s="18"/>
    </row>
    <row r="114" spans="1:7" x14ac:dyDescent="0.3">
      <c r="A114" s="335"/>
      <c r="B114" s="336"/>
      <c r="C114" s="336"/>
      <c r="D114" s="337"/>
      <c r="E114" s="18"/>
      <c r="F114" s="18"/>
      <c r="G114" s="18"/>
    </row>
    <row r="115" spans="1:7" x14ac:dyDescent="0.3">
      <c r="A115" s="354" t="s">
        <v>144</v>
      </c>
      <c r="B115" s="355"/>
      <c r="C115" s="355"/>
      <c r="D115" s="356"/>
      <c r="E115" s="18"/>
      <c r="F115" s="18"/>
      <c r="G115" s="18"/>
    </row>
    <row r="116" spans="1:7" hidden="1" outlineLevel="1" x14ac:dyDescent="0.3">
      <c r="A116" s="351"/>
      <c r="B116" s="352"/>
      <c r="C116" s="352"/>
      <c r="D116" s="353"/>
      <c r="E116" s="18"/>
      <c r="F116" s="18"/>
      <c r="G116" s="18"/>
    </row>
    <row r="117" spans="1:7" hidden="1" outlineLevel="1" x14ac:dyDescent="0.3">
      <c r="A117" s="27" t="s">
        <v>145</v>
      </c>
      <c r="B117" s="35" t="s">
        <v>146</v>
      </c>
      <c r="C117" s="33" t="s">
        <v>68</v>
      </c>
      <c r="D117" s="27" t="s">
        <v>55</v>
      </c>
      <c r="E117" s="18"/>
      <c r="F117" s="18"/>
      <c r="G117" s="18"/>
    </row>
    <row r="118" spans="1:7" hidden="1" outlineLevel="2" x14ac:dyDescent="0.3">
      <c r="A118" s="122" t="s">
        <v>56</v>
      </c>
      <c r="B118" s="37" t="s">
        <v>147</v>
      </c>
      <c r="C118" s="67">
        <f>IF(C12&gt;60,5/C12,IF(C12&gt;48,4/C12,IF(C12&gt;36,3/C12,IF(C12&gt;24,2/C12,IF(C12&gt;12,1/C12,0)))))</f>
        <v>4.1666666666666664E-2</v>
      </c>
      <c r="D118" s="60">
        <f>C118*(D34+D70+D113)</f>
        <v>188.14642434033331</v>
      </c>
      <c r="E118" s="106"/>
      <c r="F118" s="18"/>
      <c r="G118" s="68"/>
    </row>
    <row r="119" spans="1:7" hidden="1" outlineLevel="2" x14ac:dyDescent="0.3">
      <c r="A119" s="69" t="s">
        <v>105</v>
      </c>
      <c r="B119" s="37" t="s">
        <v>148</v>
      </c>
      <c r="C119" s="67">
        <f>C41</f>
        <v>0</v>
      </c>
      <c r="D119" s="96">
        <f>-D118*(1/3)*(C119)</f>
        <v>0</v>
      </c>
      <c r="E119" s="18"/>
      <c r="F119" s="18"/>
      <c r="G119" s="18"/>
    </row>
    <row r="120" spans="1:7" hidden="1" outlineLevel="1" collapsed="1" x14ac:dyDescent="0.3">
      <c r="A120" s="339" t="s">
        <v>149</v>
      </c>
      <c r="B120" s="341"/>
      <c r="C120" s="33">
        <f>C118+(D119/D34)</f>
        <v>4.1666666666666664E-2</v>
      </c>
      <c r="D120" s="34">
        <f>SUM(D118:D119)</f>
        <v>188.14642434033331</v>
      </c>
      <c r="E120" s="18"/>
      <c r="F120" s="18"/>
      <c r="G120" s="18"/>
    </row>
    <row r="121" spans="1:7" hidden="1" outlineLevel="1" x14ac:dyDescent="0.3">
      <c r="A121" s="351"/>
      <c r="B121" s="352"/>
      <c r="C121" s="352"/>
      <c r="D121" s="353"/>
      <c r="E121" s="18"/>
      <c r="F121" s="18"/>
      <c r="G121" s="18"/>
    </row>
    <row r="122" spans="1:7" hidden="1" outlineLevel="1" x14ac:dyDescent="0.3">
      <c r="A122" s="27" t="s">
        <v>150</v>
      </c>
      <c r="B122" s="35" t="s">
        <v>151</v>
      </c>
      <c r="C122" s="33" t="s">
        <v>68</v>
      </c>
      <c r="D122" s="27" t="s">
        <v>55</v>
      </c>
      <c r="E122" s="18"/>
      <c r="F122" s="18"/>
      <c r="G122" s="18"/>
    </row>
    <row r="123" spans="1:7" hidden="1" outlineLevel="2" x14ac:dyDescent="0.3">
      <c r="A123" s="122" t="s">
        <v>56</v>
      </c>
      <c r="B123" s="120" t="s">
        <v>152</v>
      </c>
      <c r="C123" s="131">
        <v>1.35E-2</v>
      </c>
      <c r="D123" s="60">
        <f t="shared" ref="D123:D128" si="1">C123*($D$64+$D$113+$D$34)</f>
        <v>44.042575286267997</v>
      </c>
      <c r="E123" s="18"/>
      <c r="F123" s="18"/>
      <c r="G123" s="68"/>
    </row>
    <row r="124" spans="1:7" hidden="1" outlineLevel="2" x14ac:dyDescent="0.3">
      <c r="A124" s="122" t="s">
        <v>26</v>
      </c>
      <c r="B124" s="37" t="s">
        <v>153</v>
      </c>
      <c r="C124" s="143">
        <v>1.66E-2</v>
      </c>
      <c r="D124" s="60">
        <f t="shared" si="1"/>
        <v>54.156055537188792</v>
      </c>
      <c r="E124" s="18"/>
      <c r="F124" s="18"/>
      <c r="G124" s="68"/>
    </row>
    <row r="125" spans="1:7" hidden="1" outlineLevel="2" x14ac:dyDescent="0.3">
      <c r="A125" s="122" t="s">
        <v>29</v>
      </c>
      <c r="B125" s="37" t="s">
        <v>154</v>
      </c>
      <c r="C125" s="143">
        <v>2.7000000000000001E-3</v>
      </c>
      <c r="D125" s="60">
        <f t="shared" si="1"/>
        <v>8.8085150572535991</v>
      </c>
      <c r="E125" s="18"/>
      <c r="F125" s="18"/>
      <c r="G125" s="68"/>
    </row>
    <row r="126" spans="1:7" hidden="1" outlineLevel="2" x14ac:dyDescent="0.3">
      <c r="A126" s="122" t="s">
        <v>31</v>
      </c>
      <c r="B126" s="37" t="s">
        <v>155</v>
      </c>
      <c r="C126" s="143">
        <v>2.8E-3</v>
      </c>
      <c r="D126" s="60">
        <f t="shared" si="1"/>
        <v>9.1347563556703992</v>
      </c>
      <c r="E126" s="18"/>
      <c r="F126" s="18"/>
      <c r="G126" s="18"/>
    </row>
    <row r="127" spans="1:7" hidden="1" outlineLevel="2" x14ac:dyDescent="0.3">
      <c r="A127" s="122" t="s">
        <v>34</v>
      </c>
      <c r="B127" s="37" t="s">
        <v>156</v>
      </c>
      <c r="C127" s="143">
        <v>2.0000000000000001E-4</v>
      </c>
      <c r="D127" s="60">
        <f t="shared" si="1"/>
        <v>0.65248259683359999</v>
      </c>
      <c r="E127" s="18"/>
      <c r="F127" s="18"/>
      <c r="G127" s="18"/>
    </row>
    <row r="128" spans="1:7" hidden="1" outlineLevel="2" x14ac:dyDescent="0.3">
      <c r="A128" s="122" t="s">
        <v>37</v>
      </c>
      <c r="B128" s="37" t="s">
        <v>157</v>
      </c>
      <c r="C128" s="143">
        <v>2.9999999999999997E-4</v>
      </c>
      <c r="D128" s="60">
        <f t="shared" si="1"/>
        <v>0.97872389525039982</v>
      </c>
      <c r="E128" s="18"/>
      <c r="F128" s="18"/>
      <c r="G128" s="18"/>
    </row>
    <row r="129" spans="1:7" hidden="1" outlineLevel="1" collapsed="1" x14ac:dyDescent="0.3">
      <c r="A129" s="339" t="s">
        <v>149</v>
      </c>
      <c r="B129" s="341"/>
      <c r="C129" s="33">
        <f>SUM(C123:C128)</f>
        <v>3.61E-2</v>
      </c>
      <c r="D129" s="34">
        <f>SUM(D123:D128)</f>
        <v>117.77310872846479</v>
      </c>
      <c r="E129" s="18"/>
      <c r="F129" s="18"/>
      <c r="G129" s="18"/>
    </row>
    <row r="130" spans="1:7" hidden="1" outlineLevel="1" x14ac:dyDescent="0.3">
      <c r="A130" s="351"/>
      <c r="B130" s="352"/>
      <c r="C130" s="352"/>
      <c r="D130" s="353"/>
      <c r="E130" s="18"/>
      <c r="F130" s="18"/>
      <c r="G130" s="18"/>
    </row>
    <row r="131" spans="1:7" hidden="1" outlineLevel="1" x14ac:dyDescent="0.3">
      <c r="A131" s="357" t="s">
        <v>158</v>
      </c>
      <c r="B131" s="358"/>
      <c r="C131" s="27" t="s">
        <v>68</v>
      </c>
      <c r="D131" s="27" t="s">
        <v>55</v>
      </c>
      <c r="E131" s="18"/>
      <c r="F131" s="18"/>
      <c r="G131" s="18"/>
    </row>
    <row r="132" spans="1:7" hidden="1" outlineLevel="1" x14ac:dyDescent="0.3">
      <c r="A132" s="122" t="s">
        <v>145</v>
      </c>
      <c r="B132" s="37" t="s">
        <v>146</v>
      </c>
      <c r="C132" s="43"/>
      <c r="D132" s="80">
        <f>D120</f>
        <v>188.14642434033331</v>
      </c>
      <c r="E132" s="18"/>
      <c r="F132" s="18"/>
      <c r="G132" s="18"/>
    </row>
    <row r="133" spans="1:7" hidden="1" outlineLevel="1" x14ac:dyDescent="0.3">
      <c r="A133" s="122" t="s">
        <v>150</v>
      </c>
      <c r="B133" s="37" t="s">
        <v>151</v>
      </c>
      <c r="C133" s="43"/>
      <c r="D133" s="80">
        <f>D129</f>
        <v>117.77310872846479</v>
      </c>
      <c r="E133" s="18"/>
      <c r="F133" s="18"/>
      <c r="G133" s="18"/>
    </row>
    <row r="134" spans="1:7" collapsed="1" x14ac:dyDescent="0.3">
      <c r="A134" s="339" t="s">
        <v>73</v>
      </c>
      <c r="B134" s="340"/>
      <c r="C134" s="341"/>
      <c r="D134" s="40">
        <f>SUM(D132:D133)</f>
        <v>305.9195330687981</v>
      </c>
      <c r="E134" s="18"/>
      <c r="F134" s="18"/>
      <c r="G134" s="18"/>
    </row>
    <row r="135" spans="1:7" x14ac:dyDescent="0.3">
      <c r="A135" s="351"/>
      <c r="B135" s="352"/>
      <c r="C135" s="352"/>
      <c r="D135" s="353"/>
      <c r="E135" s="18"/>
      <c r="F135" s="18"/>
      <c r="G135" s="18"/>
    </row>
    <row r="136" spans="1:7" x14ac:dyDescent="0.3">
      <c r="A136" s="354" t="s">
        <v>184</v>
      </c>
      <c r="B136" s="355"/>
      <c r="C136" s="355"/>
      <c r="D136" s="356"/>
      <c r="E136" s="18"/>
      <c r="F136" s="18"/>
      <c r="G136" s="18"/>
    </row>
    <row r="137" spans="1:7" outlineLevel="1" x14ac:dyDescent="0.3">
      <c r="A137" s="351"/>
      <c r="B137" s="352"/>
      <c r="C137" s="352"/>
      <c r="D137" s="353"/>
      <c r="E137" s="18"/>
      <c r="F137" s="18"/>
      <c r="G137" s="18"/>
    </row>
    <row r="138" spans="1:7" outlineLevel="1" x14ac:dyDescent="0.3">
      <c r="A138" s="124">
        <v>5</v>
      </c>
      <c r="B138" s="339" t="s">
        <v>160</v>
      </c>
      <c r="C138" s="341"/>
      <c r="D138" s="27" t="s">
        <v>55</v>
      </c>
      <c r="E138" s="18"/>
      <c r="F138" s="18"/>
      <c r="G138" s="18"/>
    </row>
    <row r="139" spans="1:7" outlineLevel="1" x14ac:dyDescent="0.3">
      <c r="A139" s="122" t="s">
        <v>56</v>
      </c>
      <c r="B139" s="345" t="s">
        <v>161</v>
      </c>
      <c r="C139" s="346"/>
      <c r="D139" s="60">
        <f>INSUMOS!H15</f>
        <v>51.709666666666664</v>
      </c>
      <c r="E139" s="18"/>
      <c r="F139" s="18"/>
      <c r="G139" s="18"/>
    </row>
    <row r="140" spans="1:7" outlineLevel="1" x14ac:dyDescent="0.3">
      <c r="A140" s="122" t="s">
        <v>26</v>
      </c>
      <c r="B140" s="345" t="s">
        <v>162</v>
      </c>
      <c r="C140" s="346"/>
      <c r="D140" s="70">
        <f>INSUMOS!H35</f>
        <v>5.0591249999999999</v>
      </c>
      <c r="E140" s="18"/>
      <c r="F140" s="18"/>
      <c r="G140" s="18"/>
    </row>
    <row r="141" spans="1:7" ht="15.75" customHeight="1" outlineLevel="1" x14ac:dyDescent="0.3">
      <c r="A141" s="122" t="s">
        <v>29</v>
      </c>
      <c r="B141" s="347" t="s">
        <v>163</v>
      </c>
      <c r="C141" s="348"/>
      <c r="D141" s="70">
        <f>INSUMOS!H44</f>
        <v>62.5</v>
      </c>
      <c r="E141" s="18"/>
      <c r="F141" s="18"/>
      <c r="G141" s="18"/>
    </row>
    <row r="142" spans="1:7" outlineLevel="1" x14ac:dyDescent="0.3">
      <c r="A142" s="122" t="s">
        <v>31</v>
      </c>
      <c r="B142" s="349" t="s">
        <v>63</v>
      </c>
      <c r="C142" s="350"/>
      <c r="D142" s="142">
        <v>0</v>
      </c>
      <c r="E142" s="18"/>
      <c r="F142" s="18"/>
      <c r="G142" s="18"/>
    </row>
    <row r="143" spans="1:7" outlineLevel="1" x14ac:dyDescent="0.3">
      <c r="A143" s="122" t="s">
        <v>34</v>
      </c>
      <c r="B143" s="349" t="s">
        <v>63</v>
      </c>
      <c r="C143" s="350"/>
      <c r="D143" s="142">
        <v>0</v>
      </c>
      <c r="E143" s="18"/>
      <c r="F143" s="18"/>
      <c r="G143" s="18"/>
    </row>
    <row r="144" spans="1:7" x14ac:dyDescent="0.3">
      <c r="A144" s="339" t="s">
        <v>164</v>
      </c>
      <c r="B144" s="340"/>
      <c r="C144" s="341"/>
      <c r="D144" s="34">
        <f>SUM(D139:D143)</f>
        <v>119.26879166666666</v>
      </c>
      <c r="E144" s="18"/>
      <c r="F144" s="18"/>
      <c r="G144" s="18"/>
    </row>
    <row r="145" spans="1:7" x14ac:dyDescent="0.3">
      <c r="A145" s="335"/>
      <c r="B145" s="336"/>
      <c r="C145" s="336"/>
      <c r="D145" s="337"/>
      <c r="E145" s="18"/>
      <c r="F145" s="18"/>
      <c r="G145" s="18"/>
    </row>
    <row r="146" spans="1:7" x14ac:dyDescent="0.3">
      <c r="A146" s="342" t="s">
        <v>165</v>
      </c>
      <c r="B146" s="342"/>
      <c r="C146" s="342"/>
      <c r="D146" s="126">
        <f>D34+D70+D113+D134+D144</f>
        <v>4940.7025089034641</v>
      </c>
      <c r="E146" s="18"/>
      <c r="F146" s="18"/>
      <c r="G146" s="18"/>
    </row>
    <row r="147" spans="1:7" x14ac:dyDescent="0.3">
      <c r="A147" s="343"/>
      <c r="B147" s="343"/>
      <c r="C147" s="343"/>
      <c r="D147" s="343"/>
      <c r="E147" s="18"/>
      <c r="F147" s="18"/>
      <c r="G147" s="18"/>
    </row>
    <row r="148" spans="1:7" x14ac:dyDescent="0.3">
      <c r="A148" s="344" t="s">
        <v>166</v>
      </c>
      <c r="B148" s="344"/>
      <c r="C148" s="344"/>
      <c r="D148" s="344"/>
      <c r="E148" s="18"/>
      <c r="F148" s="18"/>
      <c r="G148" s="18"/>
    </row>
    <row r="149" spans="1:7" hidden="1" outlineLevel="1" x14ac:dyDescent="0.3">
      <c r="A149" s="330"/>
      <c r="B149" s="331"/>
      <c r="C149" s="331"/>
      <c r="D149" s="332"/>
      <c r="E149" s="18"/>
      <c r="F149" s="18"/>
      <c r="G149" s="18"/>
    </row>
    <row r="150" spans="1:7" hidden="1" outlineLevel="1" x14ac:dyDescent="0.3">
      <c r="A150" s="283">
        <v>6</v>
      </c>
      <c r="B150" s="283" t="s">
        <v>167</v>
      </c>
      <c r="C150" s="283" t="s">
        <v>68</v>
      </c>
      <c r="D150" s="284" t="s">
        <v>55</v>
      </c>
      <c r="E150" s="18"/>
      <c r="F150" s="18"/>
      <c r="G150" s="18"/>
    </row>
    <row r="151" spans="1:7" hidden="1" outlineLevel="1" x14ac:dyDescent="0.3">
      <c r="A151" s="285" t="s">
        <v>56</v>
      </c>
      <c r="B151" s="199" t="s">
        <v>168</v>
      </c>
      <c r="C151" s="286">
        <v>0.2843</v>
      </c>
      <c r="D151" s="289">
        <f>C151*D146</f>
        <v>1404.6417232812548</v>
      </c>
      <c r="E151" s="18"/>
      <c r="F151" s="18"/>
      <c r="G151" s="18"/>
    </row>
    <row r="152" spans="1:7" ht="15.75" hidden="1" customHeight="1" outlineLevel="1" x14ac:dyDescent="0.3">
      <c r="A152" s="333" t="s">
        <v>169</v>
      </c>
      <c r="B152" s="334"/>
      <c r="C152" s="287"/>
      <c r="D152" s="290">
        <f>D151</f>
        <v>1404.6417232812548</v>
      </c>
      <c r="E152" s="18"/>
      <c r="F152" s="18"/>
      <c r="G152" s="18"/>
    </row>
    <row r="153" spans="1:7" collapsed="1" x14ac:dyDescent="0.3">
      <c r="A153" s="335"/>
      <c r="B153" s="336"/>
      <c r="C153" s="336"/>
      <c r="D153" s="337"/>
      <c r="E153" s="18"/>
      <c r="F153" s="18"/>
      <c r="G153" s="18"/>
    </row>
    <row r="154" spans="1:7" x14ac:dyDescent="0.3">
      <c r="A154" s="327" t="s">
        <v>170</v>
      </c>
      <c r="B154" s="328"/>
      <c r="C154" s="329"/>
      <c r="D154" s="71" t="s">
        <v>55</v>
      </c>
      <c r="E154" s="18"/>
      <c r="F154" s="18"/>
      <c r="G154" s="18"/>
    </row>
    <row r="155" spans="1:7" x14ac:dyDescent="0.3">
      <c r="A155" s="325" t="s">
        <v>171</v>
      </c>
      <c r="B155" s="338"/>
      <c r="C155" s="338"/>
      <c r="D155" s="326"/>
      <c r="E155" s="18"/>
      <c r="F155" s="18"/>
      <c r="G155" s="18"/>
    </row>
    <row r="156" spans="1:7" x14ac:dyDescent="0.3">
      <c r="A156" s="125" t="s">
        <v>56</v>
      </c>
      <c r="B156" s="325" t="s">
        <v>172</v>
      </c>
      <c r="C156" s="326"/>
      <c r="D156" s="22">
        <f>D34</f>
        <v>2501.2000000000003</v>
      </c>
      <c r="E156" s="18"/>
      <c r="F156" s="18"/>
      <c r="G156" s="18"/>
    </row>
    <row r="157" spans="1:7" x14ac:dyDescent="0.3">
      <c r="A157" s="125" t="s">
        <v>26</v>
      </c>
      <c r="B157" s="325" t="s">
        <v>173</v>
      </c>
      <c r="C157" s="326"/>
      <c r="D157" s="22">
        <f>D70</f>
        <v>1774.5422000000001</v>
      </c>
      <c r="E157" s="18"/>
      <c r="F157" s="18"/>
      <c r="G157" s="18"/>
    </row>
    <row r="158" spans="1:7" x14ac:dyDescent="0.3">
      <c r="A158" s="125" t="s">
        <v>29</v>
      </c>
      <c r="B158" s="325" t="s">
        <v>174</v>
      </c>
      <c r="C158" s="326"/>
      <c r="D158" s="22">
        <f>D113</f>
        <v>239.77198416799911</v>
      </c>
      <c r="E158" s="18"/>
      <c r="F158" s="18"/>
      <c r="G158" s="18"/>
    </row>
    <row r="159" spans="1:7" x14ac:dyDescent="0.3">
      <c r="A159" s="125" t="s">
        <v>31</v>
      </c>
      <c r="B159" s="325" t="s">
        <v>175</v>
      </c>
      <c r="C159" s="326"/>
      <c r="D159" s="22">
        <f>D134</f>
        <v>305.9195330687981</v>
      </c>
      <c r="E159" s="18"/>
      <c r="F159" s="18"/>
      <c r="G159" s="18"/>
    </row>
    <row r="160" spans="1:7" x14ac:dyDescent="0.3">
      <c r="A160" s="125" t="s">
        <v>34</v>
      </c>
      <c r="B160" s="325" t="s">
        <v>176</v>
      </c>
      <c r="C160" s="326"/>
      <c r="D160" s="22">
        <f>D144</f>
        <v>119.26879166666666</v>
      </c>
      <c r="E160" s="18"/>
      <c r="F160" s="18"/>
      <c r="G160" s="18"/>
    </row>
    <row r="161" spans="1:7" x14ac:dyDescent="0.3">
      <c r="A161" s="322" t="s">
        <v>177</v>
      </c>
      <c r="B161" s="323"/>
      <c r="C161" s="324"/>
      <c r="D161" s="22">
        <f>SUM(D156:D160)</f>
        <v>4940.7025089034641</v>
      </c>
      <c r="E161" s="18"/>
      <c r="F161" s="18"/>
      <c r="G161" s="18"/>
    </row>
    <row r="162" spans="1:7" x14ac:dyDescent="0.3">
      <c r="A162" s="125" t="s">
        <v>178</v>
      </c>
      <c r="B162" s="325" t="s">
        <v>179</v>
      </c>
      <c r="C162" s="326"/>
      <c r="D162" s="288">
        <f>D152</f>
        <v>1404.6417232812548</v>
      </c>
      <c r="E162" s="18"/>
      <c r="F162" s="18"/>
      <c r="G162" s="18"/>
    </row>
    <row r="163" spans="1:7" x14ac:dyDescent="0.3">
      <c r="A163" s="327" t="s">
        <v>180</v>
      </c>
      <c r="B163" s="328"/>
      <c r="C163" s="329"/>
      <c r="D163" s="98">
        <f xml:space="preserve"> D161+D162</f>
        <v>6345.3442321847187</v>
      </c>
      <c r="E163" s="18"/>
      <c r="F163" s="18"/>
      <c r="G163" s="18"/>
    </row>
    <row r="164" spans="1:7" x14ac:dyDescent="0.3">
      <c r="A164" s="18"/>
      <c r="B164" s="18"/>
      <c r="C164" s="18"/>
      <c r="D164" s="18"/>
      <c r="E164" s="18"/>
      <c r="F164" s="18"/>
      <c r="G164" s="18"/>
    </row>
    <row r="165" spans="1:7" x14ac:dyDescent="0.3">
      <c r="A165" s="18"/>
      <c r="B165" s="18"/>
      <c r="C165" s="18"/>
      <c r="D165" s="18"/>
      <c r="E165" s="18"/>
      <c r="F165" s="18"/>
      <c r="G165" s="18"/>
    </row>
    <row r="166" spans="1:7" x14ac:dyDescent="0.3">
      <c r="A166" s="18"/>
      <c r="B166" s="18"/>
      <c r="C166" s="18"/>
      <c r="D166" s="18"/>
      <c r="E166" s="18"/>
      <c r="F166" s="18"/>
      <c r="G166" s="18"/>
    </row>
  </sheetData>
  <mergeCells count="90">
    <mergeCell ref="B159:C159"/>
    <mergeCell ref="B160:C160"/>
    <mergeCell ref="A161:C161"/>
    <mergeCell ref="B162:C162"/>
    <mergeCell ref="A163:C163"/>
    <mergeCell ref="B158:C158"/>
    <mergeCell ref="A145:D145"/>
    <mergeCell ref="A146:C146"/>
    <mergeCell ref="A147:D147"/>
    <mergeCell ref="A148:D148"/>
    <mergeCell ref="A149:D149"/>
    <mergeCell ref="A152:B152"/>
    <mergeCell ref="A153:D153"/>
    <mergeCell ref="A154:C154"/>
    <mergeCell ref="A155:D155"/>
    <mergeCell ref="B156:C156"/>
    <mergeCell ref="B157:C157"/>
    <mergeCell ref="A144:C144"/>
    <mergeCell ref="A130:D130"/>
    <mergeCell ref="A131:B131"/>
    <mergeCell ref="A134:C134"/>
    <mergeCell ref="A135:D135"/>
    <mergeCell ref="A136:D136"/>
    <mergeCell ref="A137:D137"/>
    <mergeCell ref="B142:C142"/>
    <mergeCell ref="B138:C138"/>
    <mergeCell ref="B139:C139"/>
    <mergeCell ref="B140:C140"/>
    <mergeCell ref="B141:C141"/>
    <mergeCell ref="B143:C143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64E7-64C7-4DFD-94A4-508EE9629A1F}">
  <dimension ref="A1:J14"/>
  <sheetViews>
    <sheetView workbookViewId="0">
      <selection activeCell="H10" sqref="H10"/>
    </sheetView>
  </sheetViews>
  <sheetFormatPr defaultColWidth="0" defaultRowHeight="15" zeroHeight="1" x14ac:dyDescent="0.25"/>
  <cols>
    <col min="1" max="1" width="40.42578125" customWidth="1"/>
    <col min="2" max="2" width="6.28515625" bestFit="1" customWidth="1"/>
    <col min="3" max="3" width="22" bestFit="1" customWidth="1"/>
    <col min="4" max="4" width="20.85546875" bestFit="1" customWidth="1"/>
    <col min="5" max="5" width="23" bestFit="1" customWidth="1"/>
    <col min="6" max="7" width="26" bestFit="1" customWidth="1"/>
    <col min="8" max="8" width="19.28515625" bestFit="1" customWidth="1"/>
    <col min="9" max="10" width="9.140625" customWidth="1"/>
    <col min="11" max="16384" width="9.140625" hidden="1"/>
  </cols>
  <sheetData>
    <row r="1" spans="1:10" x14ac:dyDescent="0.25">
      <c r="A1" s="399" t="s">
        <v>185</v>
      </c>
      <c r="B1" s="399"/>
      <c r="C1" s="399"/>
      <c r="D1" s="399"/>
      <c r="E1" s="399"/>
      <c r="F1" s="399"/>
      <c r="G1" s="399"/>
      <c r="H1" s="399"/>
      <c r="I1" s="222"/>
      <c r="J1" s="222"/>
    </row>
    <row r="2" spans="1:10" x14ac:dyDescent="0.25">
      <c r="A2" s="399" t="s">
        <v>186</v>
      </c>
      <c r="B2" s="399"/>
      <c r="C2" s="399"/>
      <c r="D2" s="399"/>
      <c r="E2" s="399"/>
      <c r="F2" s="399"/>
      <c r="G2" s="399"/>
      <c r="H2" s="399"/>
      <c r="I2" s="222"/>
      <c r="J2" s="222"/>
    </row>
    <row r="3" spans="1:10" x14ac:dyDescent="0.25">
      <c r="A3" s="399" t="s">
        <v>187</v>
      </c>
      <c r="B3" s="399"/>
      <c r="C3" s="399"/>
      <c r="D3" s="399"/>
      <c r="E3" s="399"/>
      <c r="F3" s="399"/>
      <c r="G3" s="399"/>
      <c r="H3" s="399"/>
      <c r="I3" s="222"/>
      <c r="J3" s="222"/>
    </row>
    <row r="4" spans="1:10" ht="25.5" x14ac:dyDescent="0.25">
      <c r="A4" s="252" t="s">
        <v>188</v>
      </c>
      <c r="B4" s="253" t="s">
        <v>189</v>
      </c>
      <c r="C4" s="254" t="s">
        <v>190</v>
      </c>
      <c r="D4" s="254" t="s">
        <v>191</v>
      </c>
      <c r="E4" s="254" t="s">
        <v>192</v>
      </c>
      <c r="F4" s="254" t="s">
        <v>193</v>
      </c>
      <c r="G4" s="254" t="s">
        <v>194</v>
      </c>
      <c r="H4" s="254" t="s">
        <v>195</v>
      </c>
      <c r="I4" s="222"/>
      <c r="J4" s="222"/>
    </row>
    <row r="5" spans="1:10" x14ac:dyDescent="0.25">
      <c r="A5" s="255" t="s">
        <v>196</v>
      </c>
      <c r="B5" s="256" t="s">
        <v>197</v>
      </c>
      <c r="C5" s="257">
        <v>27.24</v>
      </c>
      <c r="D5" s="258">
        <v>16</v>
      </c>
      <c r="E5" s="259">
        <f t="shared" ref="E5" si="0">C5*D5</f>
        <v>435.84</v>
      </c>
      <c r="F5" s="259">
        <f>(C5*D5)*0.3*1.5</f>
        <v>196.12799999999999</v>
      </c>
      <c r="G5" s="259">
        <f>(C5*D5)*0.15*2</f>
        <v>130.75199999999998</v>
      </c>
      <c r="H5" s="259">
        <f>SUM(E5:G5)*12</f>
        <v>9152.64</v>
      </c>
      <c r="I5" s="222"/>
      <c r="J5" s="222"/>
    </row>
    <row r="6" spans="1:10" x14ac:dyDescent="0.25">
      <c r="A6" s="255" t="s">
        <v>198</v>
      </c>
      <c r="B6" s="256" t="s">
        <v>197</v>
      </c>
      <c r="C6" s="257">
        <v>35.08</v>
      </c>
      <c r="D6" s="258">
        <v>16</v>
      </c>
      <c r="E6" s="259">
        <f>C6*D6</f>
        <v>561.28</v>
      </c>
      <c r="F6" s="259">
        <f>(C6*D6)*0.3*1.5</f>
        <v>252.57599999999996</v>
      </c>
      <c r="G6" s="259">
        <f>(C6*D6)*0.15*2</f>
        <v>168.38399999999999</v>
      </c>
      <c r="H6" s="259">
        <f>SUM(E6:G6)*12</f>
        <v>11786.880000000001</v>
      </c>
      <c r="I6" s="222"/>
      <c r="J6" s="222"/>
    </row>
    <row r="7" spans="1:10" x14ac:dyDescent="0.25">
      <c r="A7" s="255" t="s">
        <v>199</v>
      </c>
      <c r="B7" s="256" t="s">
        <v>197</v>
      </c>
      <c r="C7" s="257">
        <v>27.42</v>
      </c>
      <c r="D7" s="258">
        <v>16</v>
      </c>
      <c r="E7" s="259">
        <f>C7*D7</f>
        <v>438.72</v>
      </c>
      <c r="F7" s="259">
        <f>(C7*D7)*0.3*1.5</f>
        <v>197.42400000000004</v>
      </c>
      <c r="G7" s="259">
        <f>(C7*D7)*0.15*2</f>
        <v>131.61600000000001</v>
      </c>
      <c r="H7" s="259">
        <f>SUM(E7:G7)*12</f>
        <v>9213.119999999999</v>
      </c>
      <c r="I7" s="222"/>
      <c r="J7" s="222"/>
    </row>
    <row r="8" spans="1:10" x14ac:dyDescent="0.25">
      <c r="A8" s="400" t="s">
        <v>200</v>
      </c>
      <c r="B8" s="400"/>
      <c r="C8" s="400"/>
      <c r="D8" s="400"/>
      <c r="E8" s="260">
        <f>SUM(E5:E7)</f>
        <v>1435.84</v>
      </c>
      <c r="F8" s="260">
        <f>SUM(F5:F7)</f>
        <v>646.12799999999993</v>
      </c>
      <c r="G8" s="260">
        <f>SUM(G5:G7)</f>
        <v>430.75199999999995</v>
      </c>
      <c r="H8" s="260">
        <f>SUM(H5:H7)</f>
        <v>30152.639999999999</v>
      </c>
      <c r="I8" s="222"/>
      <c r="J8" s="222"/>
    </row>
    <row r="9" spans="1:10" x14ac:dyDescent="0.25">
      <c r="A9" s="398" t="s">
        <v>201</v>
      </c>
      <c r="B9" s="398"/>
      <c r="C9" s="398"/>
      <c r="D9" s="398"/>
      <c r="E9" s="398"/>
      <c r="F9" s="398"/>
      <c r="G9" s="398"/>
      <c r="H9" s="261">
        <f>'BDI Diferenciado'!D11</f>
        <v>0.17473213793103448</v>
      </c>
      <c r="I9" s="222"/>
      <c r="J9" s="222"/>
    </row>
    <row r="10" spans="1:10" x14ac:dyDescent="0.25">
      <c r="A10" s="398" t="s">
        <v>202</v>
      </c>
      <c r="B10" s="398"/>
      <c r="C10" s="398"/>
      <c r="D10" s="398"/>
      <c r="E10" s="398"/>
      <c r="F10" s="398"/>
      <c r="G10" s="398"/>
      <c r="H10" s="262">
        <f>H8*(1+H9)</f>
        <v>35421.275251464824</v>
      </c>
      <c r="I10" s="222"/>
      <c r="J10" s="222"/>
    </row>
    <row r="11" spans="1:10" x14ac:dyDescent="0.25">
      <c r="A11" s="398" t="s">
        <v>203</v>
      </c>
      <c r="B11" s="398"/>
      <c r="C11" s="398"/>
      <c r="D11" s="398"/>
      <c r="E11" s="398"/>
      <c r="F11" s="398"/>
      <c r="G11" s="398"/>
      <c r="H11" s="260">
        <f>H10/12</f>
        <v>2951.7729376220686</v>
      </c>
      <c r="I11" s="222"/>
      <c r="J11" s="222"/>
    </row>
    <row r="12" spans="1:10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0" x14ac:dyDescent="0.25">
      <c r="A13" s="222"/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0" x14ac:dyDescent="0.25">
      <c r="A14" s="222"/>
      <c r="B14" s="222"/>
      <c r="C14" s="222"/>
      <c r="D14" s="222"/>
      <c r="E14" s="222"/>
      <c r="F14" s="222"/>
      <c r="G14" s="222"/>
      <c r="H14" s="222"/>
      <c r="I14" s="222"/>
      <c r="J14" s="222"/>
    </row>
  </sheetData>
  <mergeCells count="7">
    <mergeCell ref="A11:G11"/>
    <mergeCell ref="A1:H1"/>
    <mergeCell ref="A2:H2"/>
    <mergeCell ref="A3:H3"/>
    <mergeCell ref="A8:D8"/>
    <mergeCell ref="A9:G9"/>
    <mergeCell ref="A10:G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491E-82F9-47F3-AFA8-433C10566250}">
  <dimension ref="A1:H127"/>
  <sheetViews>
    <sheetView topLeftCell="A94" workbookViewId="0">
      <selection activeCell="B110" sqref="B110"/>
    </sheetView>
  </sheetViews>
  <sheetFormatPr defaultColWidth="0" defaultRowHeight="15" zeroHeight="1" x14ac:dyDescent="0.25"/>
  <cols>
    <col min="1" max="1" width="14.42578125" style="147" customWidth="1"/>
    <col min="2" max="2" width="78.5703125" style="147" customWidth="1"/>
    <col min="3" max="3" width="8.85546875" style="218" customWidth="1"/>
    <col min="4" max="4" width="15" style="219" customWidth="1"/>
    <col min="5" max="5" width="9.28515625" style="220" customWidth="1"/>
    <col min="6" max="6" width="19.7109375" style="221" customWidth="1"/>
    <col min="7" max="7" width="8.85546875" style="263" customWidth="1"/>
    <col min="8" max="8" width="8" style="147" hidden="1" customWidth="1"/>
    <col min="9" max="16384" width="8.85546875" style="147" hidden="1"/>
  </cols>
  <sheetData>
    <row r="1" spans="1:8" ht="15" customHeight="1" x14ac:dyDescent="0.25">
      <c r="A1" s="403" t="s">
        <v>204</v>
      </c>
      <c r="B1" s="405" t="s">
        <v>205</v>
      </c>
      <c r="C1" s="405" t="s">
        <v>206</v>
      </c>
      <c r="D1" s="407" t="s">
        <v>207</v>
      </c>
      <c r="E1" s="409" t="s">
        <v>208</v>
      </c>
      <c r="F1" s="401" t="s">
        <v>209</v>
      </c>
    </row>
    <row r="2" spans="1:8" ht="15" customHeight="1" thickBot="1" x14ac:dyDescent="0.3">
      <c r="A2" s="404"/>
      <c r="B2" s="406"/>
      <c r="C2" s="406"/>
      <c r="D2" s="408"/>
      <c r="E2" s="410"/>
      <c r="F2" s="402"/>
    </row>
    <row r="3" spans="1:8" ht="15" customHeight="1" x14ac:dyDescent="0.25">
      <c r="A3" s="148" t="s">
        <v>210</v>
      </c>
      <c r="B3" s="149" t="s">
        <v>211</v>
      </c>
      <c r="C3" s="150" t="s">
        <v>212</v>
      </c>
      <c r="D3" s="151">
        <v>0.17</v>
      </c>
      <c r="E3" s="152">
        <v>10</v>
      </c>
      <c r="F3" s="153">
        <f t="shared" ref="F3:F42" si="0">D3*E3</f>
        <v>1.7000000000000002</v>
      </c>
      <c r="H3" s="154"/>
    </row>
    <row r="4" spans="1:8" ht="15" customHeight="1" x14ac:dyDescent="0.25">
      <c r="A4" s="148" t="s">
        <v>213</v>
      </c>
      <c r="B4" s="155" t="s">
        <v>214</v>
      </c>
      <c r="C4" s="156" t="s">
        <v>212</v>
      </c>
      <c r="D4" s="157">
        <v>0.22</v>
      </c>
      <c r="E4" s="158">
        <v>10</v>
      </c>
      <c r="F4" s="159">
        <f t="shared" si="0"/>
        <v>2.2000000000000002</v>
      </c>
      <c r="H4" s="154"/>
    </row>
    <row r="5" spans="1:8" ht="15" customHeight="1" x14ac:dyDescent="0.25">
      <c r="A5" s="148" t="s">
        <v>215</v>
      </c>
      <c r="B5" s="160" t="s">
        <v>216</v>
      </c>
      <c r="C5" s="156" t="s">
        <v>212</v>
      </c>
      <c r="D5" s="157">
        <v>0.88</v>
      </c>
      <c r="E5" s="158">
        <v>10</v>
      </c>
      <c r="F5" s="159">
        <f t="shared" si="0"/>
        <v>8.8000000000000007</v>
      </c>
      <c r="H5" s="154"/>
    </row>
    <row r="6" spans="1:8" ht="15" customHeight="1" x14ac:dyDescent="0.25">
      <c r="A6" s="148" t="s">
        <v>217</v>
      </c>
      <c r="B6" s="160" t="s">
        <v>218</v>
      </c>
      <c r="C6" s="156" t="s">
        <v>219</v>
      </c>
      <c r="D6" s="157">
        <v>0.38</v>
      </c>
      <c r="E6" s="158">
        <v>5</v>
      </c>
      <c r="F6" s="159">
        <f t="shared" si="0"/>
        <v>1.9</v>
      </c>
      <c r="H6" s="161"/>
    </row>
    <row r="7" spans="1:8" ht="15" customHeight="1" x14ac:dyDescent="0.25">
      <c r="A7" s="148" t="s">
        <v>220</v>
      </c>
      <c r="B7" s="155" t="s">
        <v>221</v>
      </c>
      <c r="C7" s="156" t="s">
        <v>219</v>
      </c>
      <c r="D7" s="157">
        <v>52.14</v>
      </c>
      <c r="E7" s="158">
        <v>6</v>
      </c>
      <c r="F7" s="159">
        <f t="shared" si="0"/>
        <v>312.84000000000003</v>
      </c>
      <c r="H7" s="161"/>
    </row>
    <row r="8" spans="1:8" ht="15" customHeight="1" x14ac:dyDescent="0.25">
      <c r="A8" s="148" t="s">
        <v>222</v>
      </c>
      <c r="B8" s="160" t="s">
        <v>223</v>
      </c>
      <c r="C8" s="156" t="s">
        <v>219</v>
      </c>
      <c r="D8" s="157">
        <v>0.22</v>
      </c>
      <c r="E8" s="158">
        <v>20</v>
      </c>
      <c r="F8" s="159">
        <f t="shared" si="0"/>
        <v>4.4000000000000004</v>
      </c>
      <c r="H8" s="161"/>
    </row>
    <row r="9" spans="1:8" ht="15" customHeight="1" x14ac:dyDescent="0.25">
      <c r="A9" s="148" t="s">
        <v>224</v>
      </c>
      <c r="B9" s="160" t="s">
        <v>225</v>
      </c>
      <c r="C9" s="156" t="s">
        <v>219</v>
      </c>
      <c r="D9" s="157">
        <v>0.46</v>
      </c>
      <c r="E9" s="158">
        <v>15</v>
      </c>
      <c r="F9" s="159">
        <f t="shared" si="0"/>
        <v>6.9</v>
      </c>
      <c r="H9" s="154"/>
    </row>
    <row r="10" spans="1:8" ht="15" customHeight="1" x14ac:dyDescent="0.25">
      <c r="A10" s="148" t="s">
        <v>226</v>
      </c>
      <c r="B10" s="160" t="s">
        <v>227</v>
      </c>
      <c r="C10" s="156" t="s">
        <v>228</v>
      </c>
      <c r="D10" s="157">
        <v>10.95</v>
      </c>
      <c r="E10" s="158">
        <v>200</v>
      </c>
      <c r="F10" s="159">
        <f t="shared" si="0"/>
        <v>2190</v>
      </c>
      <c r="H10" s="154"/>
    </row>
    <row r="11" spans="1:8" ht="15" customHeight="1" x14ac:dyDescent="0.25">
      <c r="A11" s="148" t="s">
        <v>229</v>
      </c>
      <c r="B11" s="160" t="s">
        <v>230</v>
      </c>
      <c r="C11" s="156" t="s">
        <v>228</v>
      </c>
      <c r="D11" s="157">
        <v>3.49</v>
      </c>
      <c r="E11" s="158">
        <v>200</v>
      </c>
      <c r="F11" s="159">
        <f t="shared" si="0"/>
        <v>698</v>
      </c>
      <c r="H11" s="154"/>
    </row>
    <row r="12" spans="1:8" ht="15" customHeight="1" x14ac:dyDescent="0.25">
      <c r="A12" s="148" t="s">
        <v>231</v>
      </c>
      <c r="B12" s="160" t="s">
        <v>232</v>
      </c>
      <c r="C12" s="156" t="s">
        <v>228</v>
      </c>
      <c r="D12" s="157">
        <v>5</v>
      </c>
      <c r="E12" s="158">
        <v>200</v>
      </c>
      <c r="F12" s="159">
        <f t="shared" si="0"/>
        <v>1000</v>
      </c>
      <c r="H12" s="154"/>
    </row>
    <row r="13" spans="1:8" ht="15" customHeight="1" x14ac:dyDescent="0.25">
      <c r="A13" s="148" t="s">
        <v>233</v>
      </c>
      <c r="B13" s="160" t="s">
        <v>234</v>
      </c>
      <c r="C13" s="156" t="s">
        <v>228</v>
      </c>
      <c r="D13" s="157">
        <v>6.83</v>
      </c>
      <c r="E13" s="158">
        <v>200</v>
      </c>
      <c r="F13" s="159">
        <f t="shared" si="0"/>
        <v>1366</v>
      </c>
      <c r="H13" s="154"/>
    </row>
    <row r="14" spans="1:8" ht="15" customHeight="1" x14ac:dyDescent="0.25">
      <c r="A14" s="148" t="s">
        <v>235</v>
      </c>
      <c r="B14" s="162" t="s">
        <v>236</v>
      </c>
      <c r="C14" s="156" t="s">
        <v>228</v>
      </c>
      <c r="D14" s="157">
        <v>27.55</v>
      </c>
      <c r="E14" s="158">
        <v>200</v>
      </c>
      <c r="F14" s="159">
        <f t="shared" si="0"/>
        <v>5510</v>
      </c>
      <c r="H14" s="154"/>
    </row>
    <row r="15" spans="1:8" ht="15" customHeight="1" x14ac:dyDescent="0.25">
      <c r="A15" s="148" t="s">
        <v>237</v>
      </c>
      <c r="B15" s="163" t="s">
        <v>238</v>
      </c>
      <c r="C15" s="156" t="s">
        <v>219</v>
      </c>
      <c r="D15" s="164">
        <v>54.8</v>
      </c>
      <c r="E15" s="165">
        <v>2</v>
      </c>
      <c r="F15" s="159">
        <f t="shared" si="0"/>
        <v>109.6</v>
      </c>
      <c r="H15" s="154"/>
    </row>
    <row r="16" spans="1:8" ht="15" customHeight="1" x14ac:dyDescent="0.25">
      <c r="A16" s="148" t="s">
        <v>239</v>
      </c>
      <c r="B16" s="160" t="s">
        <v>240</v>
      </c>
      <c r="C16" s="156" t="s">
        <v>219</v>
      </c>
      <c r="D16" s="157">
        <v>10.16</v>
      </c>
      <c r="E16" s="158">
        <v>5</v>
      </c>
      <c r="F16" s="159">
        <f t="shared" si="0"/>
        <v>50.8</v>
      </c>
      <c r="H16" s="154"/>
    </row>
    <row r="17" spans="1:8" ht="15" customHeight="1" x14ac:dyDescent="0.25">
      <c r="A17" s="148" t="s">
        <v>241</v>
      </c>
      <c r="B17" s="160" t="s">
        <v>242</v>
      </c>
      <c r="C17" s="156" t="s">
        <v>219</v>
      </c>
      <c r="D17" s="157">
        <v>8.23</v>
      </c>
      <c r="E17" s="158">
        <v>10</v>
      </c>
      <c r="F17" s="159">
        <f t="shared" si="0"/>
        <v>82.300000000000011</v>
      </c>
      <c r="H17" s="161"/>
    </row>
    <row r="18" spans="1:8" ht="15" customHeight="1" x14ac:dyDescent="0.25">
      <c r="A18" s="148" t="s">
        <v>243</v>
      </c>
      <c r="B18" s="160" t="s">
        <v>244</v>
      </c>
      <c r="C18" s="156" t="s">
        <v>219</v>
      </c>
      <c r="D18" s="157">
        <v>8.5</v>
      </c>
      <c r="E18" s="158">
        <v>5</v>
      </c>
      <c r="F18" s="159">
        <f t="shared" si="0"/>
        <v>42.5</v>
      </c>
      <c r="H18" s="154"/>
    </row>
    <row r="19" spans="1:8" ht="15" customHeight="1" x14ac:dyDescent="0.25">
      <c r="A19" s="148" t="s">
        <v>245</v>
      </c>
      <c r="B19" s="160" t="s">
        <v>246</v>
      </c>
      <c r="C19" s="156" t="s">
        <v>219</v>
      </c>
      <c r="D19" s="157">
        <v>6.97</v>
      </c>
      <c r="E19" s="158">
        <v>20</v>
      </c>
      <c r="F19" s="159">
        <f t="shared" si="0"/>
        <v>139.4</v>
      </c>
      <c r="H19" s="154"/>
    </row>
    <row r="20" spans="1:8" ht="15" customHeight="1" x14ac:dyDescent="0.25">
      <c r="A20" s="148" t="s">
        <v>247</v>
      </c>
      <c r="B20" s="160" t="s">
        <v>248</v>
      </c>
      <c r="C20" s="156" t="s">
        <v>219</v>
      </c>
      <c r="D20" s="157">
        <v>7.75</v>
      </c>
      <c r="E20" s="158">
        <v>10</v>
      </c>
      <c r="F20" s="159">
        <f t="shared" si="0"/>
        <v>77.5</v>
      </c>
      <c r="H20" s="154"/>
    </row>
    <row r="21" spans="1:8" ht="15" customHeight="1" x14ac:dyDescent="0.25">
      <c r="A21" s="148" t="s">
        <v>249</v>
      </c>
      <c r="B21" s="160" t="s">
        <v>250</v>
      </c>
      <c r="C21" s="156" t="s">
        <v>228</v>
      </c>
      <c r="D21" s="157">
        <v>13.92</v>
      </c>
      <c r="E21" s="158">
        <v>0</v>
      </c>
      <c r="F21" s="159">
        <f t="shared" si="0"/>
        <v>0</v>
      </c>
      <c r="H21" s="154"/>
    </row>
    <row r="22" spans="1:8" ht="15" customHeight="1" x14ac:dyDescent="0.25">
      <c r="A22" s="148" t="s">
        <v>251</v>
      </c>
      <c r="B22" s="160" t="s">
        <v>252</v>
      </c>
      <c r="C22" s="156" t="s">
        <v>228</v>
      </c>
      <c r="D22" s="157">
        <v>12.84</v>
      </c>
      <c r="E22" s="158">
        <v>0</v>
      </c>
      <c r="F22" s="159">
        <f t="shared" si="0"/>
        <v>0</v>
      </c>
      <c r="H22" s="154"/>
    </row>
    <row r="23" spans="1:8" ht="15" customHeight="1" x14ac:dyDescent="0.25">
      <c r="A23" s="148" t="s">
        <v>253</v>
      </c>
      <c r="B23" s="160" t="s">
        <v>254</v>
      </c>
      <c r="C23" s="156" t="s">
        <v>228</v>
      </c>
      <c r="D23" s="157">
        <v>14.53</v>
      </c>
      <c r="E23" s="158">
        <v>50</v>
      </c>
      <c r="F23" s="159">
        <f t="shared" si="0"/>
        <v>726.5</v>
      </c>
      <c r="H23" s="154"/>
    </row>
    <row r="24" spans="1:8" ht="15" customHeight="1" x14ac:dyDescent="0.25">
      <c r="A24" s="148" t="s">
        <v>255</v>
      </c>
      <c r="B24" s="160" t="s">
        <v>256</v>
      </c>
      <c r="C24" s="156" t="s">
        <v>228</v>
      </c>
      <c r="D24" s="157">
        <v>3.05</v>
      </c>
      <c r="E24" s="158">
        <v>100</v>
      </c>
      <c r="F24" s="159">
        <f t="shared" si="0"/>
        <v>305</v>
      </c>
      <c r="H24" s="154"/>
    </row>
    <row r="25" spans="1:8" ht="15" customHeight="1" x14ac:dyDescent="0.25">
      <c r="A25" s="148" t="s">
        <v>257</v>
      </c>
      <c r="B25" s="160" t="s">
        <v>258</v>
      </c>
      <c r="C25" s="156" t="s">
        <v>219</v>
      </c>
      <c r="D25" s="157">
        <v>16.5</v>
      </c>
      <c r="E25" s="158">
        <v>12</v>
      </c>
      <c r="F25" s="159">
        <f t="shared" si="0"/>
        <v>198</v>
      </c>
      <c r="H25" s="154"/>
    </row>
    <row r="26" spans="1:8" ht="15" customHeight="1" x14ac:dyDescent="0.25">
      <c r="A26" s="148" t="s">
        <v>259</v>
      </c>
      <c r="B26" s="160" t="s">
        <v>260</v>
      </c>
      <c r="C26" s="156" t="s">
        <v>228</v>
      </c>
      <c r="D26" s="157">
        <v>2.25</v>
      </c>
      <c r="E26" s="158">
        <v>10</v>
      </c>
      <c r="F26" s="159">
        <f t="shared" si="0"/>
        <v>22.5</v>
      </c>
      <c r="H26" s="154"/>
    </row>
    <row r="27" spans="1:8" ht="15" customHeight="1" x14ac:dyDescent="0.25">
      <c r="A27" s="148" t="s">
        <v>261</v>
      </c>
      <c r="B27" s="160" t="s">
        <v>262</v>
      </c>
      <c r="C27" s="156" t="s">
        <v>219</v>
      </c>
      <c r="D27" s="157">
        <v>8.77</v>
      </c>
      <c r="E27" s="158">
        <v>3</v>
      </c>
      <c r="F27" s="159">
        <f t="shared" si="0"/>
        <v>26.31</v>
      </c>
      <c r="H27" s="154"/>
    </row>
    <row r="28" spans="1:8" ht="15" customHeight="1" x14ac:dyDescent="0.25">
      <c r="A28" s="148" t="s">
        <v>263</v>
      </c>
      <c r="B28" s="160" t="s">
        <v>264</v>
      </c>
      <c r="C28" s="156" t="s">
        <v>212</v>
      </c>
      <c r="D28" s="157">
        <v>6.91</v>
      </c>
      <c r="E28" s="158">
        <v>3</v>
      </c>
      <c r="F28" s="159">
        <f t="shared" si="0"/>
        <v>20.73</v>
      </c>
      <c r="H28" s="154"/>
    </row>
    <row r="29" spans="1:8" ht="15" customHeight="1" x14ac:dyDescent="0.25">
      <c r="A29" s="148" t="s">
        <v>265</v>
      </c>
      <c r="B29" s="160" t="s">
        <v>266</v>
      </c>
      <c r="C29" s="156" t="s">
        <v>219</v>
      </c>
      <c r="D29" s="157">
        <v>6.74</v>
      </c>
      <c r="E29" s="158">
        <v>3</v>
      </c>
      <c r="F29" s="159">
        <f t="shared" si="0"/>
        <v>20.22</v>
      </c>
      <c r="H29" s="161"/>
    </row>
    <row r="30" spans="1:8" ht="15" customHeight="1" x14ac:dyDescent="0.25">
      <c r="A30" s="148" t="s">
        <v>267</v>
      </c>
      <c r="B30" s="163" t="s">
        <v>268</v>
      </c>
      <c r="C30" s="156" t="s">
        <v>219</v>
      </c>
      <c r="D30" s="164">
        <v>7.28</v>
      </c>
      <c r="E30" s="165">
        <v>30</v>
      </c>
      <c r="F30" s="159">
        <f t="shared" si="0"/>
        <v>218.4</v>
      </c>
      <c r="H30" s="161"/>
    </row>
    <row r="31" spans="1:8" ht="15" customHeight="1" x14ac:dyDescent="0.25">
      <c r="A31" s="148" t="s">
        <v>269</v>
      </c>
      <c r="B31" s="163" t="s">
        <v>270</v>
      </c>
      <c r="C31" s="156" t="s">
        <v>219</v>
      </c>
      <c r="D31" s="164">
        <v>10.3</v>
      </c>
      <c r="E31" s="165">
        <v>0</v>
      </c>
      <c r="F31" s="159">
        <f t="shared" si="0"/>
        <v>0</v>
      </c>
      <c r="H31" s="161"/>
    </row>
    <row r="32" spans="1:8" ht="15" customHeight="1" x14ac:dyDescent="0.25">
      <c r="A32" s="148" t="s">
        <v>271</v>
      </c>
      <c r="B32" s="163" t="s">
        <v>272</v>
      </c>
      <c r="C32" s="156" t="s">
        <v>219</v>
      </c>
      <c r="D32" s="164">
        <v>16.059999999999999</v>
      </c>
      <c r="E32" s="165">
        <v>0</v>
      </c>
      <c r="F32" s="159">
        <f t="shared" si="0"/>
        <v>0</v>
      </c>
      <c r="H32" s="161"/>
    </row>
    <row r="33" spans="1:8" ht="15" customHeight="1" x14ac:dyDescent="0.25">
      <c r="A33" s="148" t="s">
        <v>273</v>
      </c>
      <c r="B33" s="163" t="s">
        <v>274</v>
      </c>
      <c r="C33" s="156" t="s">
        <v>219</v>
      </c>
      <c r="D33" s="164">
        <v>21.05</v>
      </c>
      <c r="E33" s="165">
        <v>20</v>
      </c>
      <c r="F33" s="159">
        <f t="shared" si="0"/>
        <v>421</v>
      </c>
      <c r="H33" s="161"/>
    </row>
    <row r="34" spans="1:8" ht="15" customHeight="1" x14ac:dyDescent="0.25">
      <c r="A34" s="148" t="s">
        <v>275</v>
      </c>
      <c r="B34" s="163" t="s">
        <v>276</v>
      </c>
      <c r="C34" s="156" t="s">
        <v>219</v>
      </c>
      <c r="D34" s="164">
        <v>162.84</v>
      </c>
      <c r="E34" s="165">
        <v>0</v>
      </c>
      <c r="F34" s="159">
        <f t="shared" si="0"/>
        <v>0</v>
      </c>
      <c r="H34" s="161"/>
    </row>
    <row r="35" spans="1:8" ht="15" customHeight="1" x14ac:dyDescent="0.25">
      <c r="A35" s="148" t="s">
        <v>277</v>
      </c>
      <c r="B35" s="166" t="s">
        <v>278</v>
      </c>
      <c r="C35" s="156" t="s">
        <v>219</v>
      </c>
      <c r="D35" s="157">
        <v>333.94</v>
      </c>
      <c r="E35" s="158">
        <v>0</v>
      </c>
      <c r="F35" s="159">
        <f t="shared" si="0"/>
        <v>0</v>
      </c>
      <c r="H35" s="161"/>
    </row>
    <row r="36" spans="1:8" ht="15" customHeight="1" x14ac:dyDescent="0.25">
      <c r="A36" s="148" t="s">
        <v>279</v>
      </c>
      <c r="B36" s="162" t="s">
        <v>280</v>
      </c>
      <c r="C36" s="156" t="s">
        <v>219</v>
      </c>
      <c r="D36" s="157">
        <v>10.220000000000001</v>
      </c>
      <c r="E36" s="158">
        <v>10</v>
      </c>
      <c r="F36" s="159">
        <f t="shared" si="0"/>
        <v>102.2</v>
      </c>
      <c r="H36" s="154"/>
    </row>
    <row r="37" spans="1:8" ht="15" customHeight="1" x14ac:dyDescent="0.25">
      <c r="A37" s="148" t="s">
        <v>281</v>
      </c>
      <c r="B37" s="160" t="s">
        <v>282</v>
      </c>
      <c r="C37" s="156" t="s">
        <v>219</v>
      </c>
      <c r="D37" s="157">
        <v>6</v>
      </c>
      <c r="E37" s="158">
        <v>16</v>
      </c>
      <c r="F37" s="159">
        <f t="shared" si="0"/>
        <v>96</v>
      </c>
      <c r="H37" s="154"/>
    </row>
    <row r="38" spans="1:8" ht="15" customHeight="1" x14ac:dyDescent="0.25">
      <c r="A38" s="148" t="s">
        <v>283</v>
      </c>
      <c r="B38" s="155" t="s">
        <v>284</v>
      </c>
      <c r="C38" s="156" t="s">
        <v>219</v>
      </c>
      <c r="D38" s="157">
        <v>1.48</v>
      </c>
      <c r="E38" s="158">
        <v>5</v>
      </c>
      <c r="F38" s="159">
        <f t="shared" si="0"/>
        <v>7.4</v>
      </c>
      <c r="H38" s="154"/>
    </row>
    <row r="39" spans="1:8" ht="15" customHeight="1" x14ac:dyDescent="0.25">
      <c r="A39" s="148" t="s">
        <v>285</v>
      </c>
      <c r="B39" s="155" t="s">
        <v>286</v>
      </c>
      <c r="C39" s="156" t="s">
        <v>219</v>
      </c>
      <c r="D39" s="157">
        <v>4.76</v>
      </c>
      <c r="E39" s="158">
        <v>5</v>
      </c>
      <c r="F39" s="159">
        <f t="shared" si="0"/>
        <v>23.799999999999997</v>
      </c>
      <c r="H39" s="154"/>
    </row>
    <row r="40" spans="1:8" ht="15" customHeight="1" x14ac:dyDescent="0.25">
      <c r="A40" s="148" t="s">
        <v>287</v>
      </c>
      <c r="B40" s="155" t="s">
        <v>288</v>
      </c>
      <c r="C40" s="156" t="s">
        <v>219</v>
      </c>
      <c r="D40" s="157">
        <v>2.94</v>
      </c>
      <c r="E40" s="158">
        <v>5</v>
      </c>
      <c r="F40" s="159">
        <f t="shared" si="0"/>
        <v>14.7</v>
      </c>
      <c r="H40" s="154"/>
    </row>
    <row r="41" spans="1:8" ht="15" customHeight="1" x14ac:dyDescent="0.25">
      <c r="A41" s="148" t="s">
        <v>289</v>
      </c>
      <c r="B41" s="160" t="s">
        <v>290</v>
      </c>
      <c r="C41" s="156" t="s">
        <v>219</v>
      </c>
      <c r="D41" s="157">
        <v>7.67</v>
      </c>
      <c r="E41" s="158">
        <v>6</v>
      </c>
      <c r="F41" s="159">
        <f t="shared" si="0"/>
        <v>46.019999999999996</v>
      </c>
      <c r="H41" s="161"/>
    </row>
    <row r="42" spans="1:8" ht="15" customHeight="1" thickBot="1" x14ac:dyDescent="0.3">
      <c r="A42" s="148" t="s">
        <v>291</v>
      </c>
      <c r="B42" s="167" t="s">
        <v>292</v>
      </c>
      <c r="C42" s="168" t="s">
        <v>219</v>
      </c>
      <c r="D42" s="169">
        <v>9.01</v>
      </c>
      <c r="E42" s="170">
        <v>6</v>
      </c>
      <c r="F42" s="171">
        <f t="shared" si="0"/>
        <v>54.06</v>
      </c>
      <c r="H42" s="154"/>
    </row>
    <row r="43" spans="1:8" ht="15" customHeight="1" thickBot="1" x14ac:dyDescent="0.3">
      <c r="A43" s="411" t="s">
        <v>293</v>
      </c>
      <c r="B43" s="412"/>
      <c r="C43" s="412"/>
      <c r="D43" s="412"/>
      <c r="E43" s="172" t="s">
        <v>294</v>
      </c>
      <c r="F43" s="173">
        <f>SUM(F3:F42)</f>
        <v>13907.679999999997</v>
      </c>
      <c r="H43" s="161"/>
    </row>
    <row r="44" spans="1:8" ht="15" customHeight="1" thickBot="1" x14ac:dyDescent="0.3">
      <c r="A44" s="413"/>
      <c r="B44" s="413"/>
      <c r="C44" s="413"/>
      <c r="D44" s="413"/>
      <c r="E44" s="174" t="s">
        <v>295</v>
      </c>
      <c r="F44" s="175">
        <f>F43/12</f>
        <v>1158.9733333333331</v>
      </c>
      <c r="H44" s="154"/>
    </row>
    <row r="45" spans="1:8" ht="15" customHeight="1" thickBot="1" x14ac:dyDescent="0.25">
      <c r="A45" s="176"/>
      <c r="B45" s="177"/>
      <c r="C45" s="178"/>
      <c r="D45" s="179"/>
      <c r="E45" s="180"/>
      <c r="F45" s="181"/>
    </row>
    <row r="46" spans="1:8" ht="15" customHeight="1" x14ac:dyDescent="0.25">
      <c r="A46" s="403" t="s">
        <v>296</v>
      </c>
      <c r="B46" s="405" t="s">
        <v>205</v>
      </c>
      <c r="C46" s="405" t="s">
        <v>206</v>
      </c>
      <c r="D46" s="416" t="s">
        <v>297</v>
      </c>
      <c r="E46" s="409" t="s">
        <v>208</v>
      </c>
      <c r="F46" s="418" t="s">
        <v>209</v>
      </c>
    </row>
    <row r="47" spans="1:8" ht="15" customHeight="1" thickBot="1" x14ac:dyDescent="0.3">
      <c r="A47" s="414"/>
      <c r="B47" s="406"/>
      <c r="C47" s="415"/>
      <c r="D47" s="417"/>
      <c r="E47" s="410"/>
      <c r="F47" s="419"/>
    </row>
    <row r="48" spans="1:8" ht="15" customHeight="1" x14ac:dyDescent="0.25">
      <c r="A48" s="182" t="s">
        <v>98</v>
      </c>
      <c r="B48" s="183" t="s">
        <v>298</v>
      </c>
      <c r="C48" s="184" t="s">
        <v>219</v>
      </c>
      <c r="D48" s="185">
        <v>22.57</v>
      </c>
      <c r="E48" s="186">
        <v>12</v>
      </c>
      <c r="F48" s="187">
        <f t="shared" ref="F48:F111" si="1">D48*E48</f>
        <v>270.84000000000003</v>
      </c>
    </row>
    <row r="49" spans="1:8" ht="15" customHeight="1" x14ac:dyDescent="0.25">
      <c r="A49" s="188" t="s">
        <v>74</v>
      </c>
      <c r="B49" s="189" t="s">
        <v>299</v>
      </c>
      <c r="C49" s="190" t="s">
        <v>219</v>
      </c>
      <c r="D49" s="191">
        <v>12.66</v>
      </c>
      <c r="E49" s="192">
        <v>6</v>
      </c>
      <c r="F49" s="193">
        <f t="shared" si="1"/>
        <v>75.960000000000008</v>
      </c>
      <c r="H49" s="194"/>
    </row>
    <row r="50" spans="1:8" ht="15" customHeight="1" x14ac:dyDescent="0.25">
      <c r="A50" s="188" t="s">
        <v>99</v>
      </c>
      <c r="B50" s="195" t="s">
        <v>300</v>
      </c>
      <c r="C50" s="190" t="s">
        <v>219</v>
      </c>
      <c r="D50" s="196">
        <v>3.66</v>
      </c>
      <c r="E50" s="197">
        <v>2</v>
      </c>
      <c r="F50" s="193">
        <f t="shared" si="1"/>
        <v>7.32</v>
      </c>
      <c r="H50" s="194"/>
    </row>
    <row r="51" spans="1:8" ht="15" customHeight="1" x14ac:dyDescent="0.25">
      <c r="A51" s="188" t="s">
        <v>301</v>
      </c>
      <c r="B51" s="195" t="s">
        <v>302</v>
      </c>
      <c r="C51" s="190" t="s">
        <v>219</v>
      </c>
      <c r="D51" s="196">
        <v>2.31</v>
      </c>
      <c r="E51" s="197">
        <v>2</v>
      </c>
      <c r="F51" s="193">
        <f t="shared" si="1"/>
        <v>4.62</v>
      </c>
      <c r="H51" s="194"/>
    </row>
    <row r="52" spans="1:8" ht="15" customHeight="1" x14ac:dyDescent="0.25">
      <c r="A52" s="188" t="s">
        <v>303</v>
      </c>
      <c r="B52" s="189" t="s">
        <v>304</v>
      </c>
      <c r="C52" s="190" t="s">
        <v>219</v>
      </c>
      <c r="D52" s="191">
        <v>92.64</v>
      </c>
      <c r="E52" s="192">
        <v>4</v>
      </c>
      <c r="F52" s="193">
        <f t="shared" si="1"/>
        <v>370.56</v>
      </c>
      <c r="H52" s="198"/>
    </row>
    <row r="53" spans="1:8" ht="15" customHeight="1" x14ac:dyDescent="0.25">
      <c r="A53" s="188" t="s">
        <v>305</v>
      </c>
      <c r="B53" s="199" t="s">
        <v>306</v>
      </c>
      <c r="C53" s="190" t="s">
        <v>307</v>
      </c>
      <c r="D53" s="196">
        <v>99.5</v>
      </c>
      <c r="E53" s="197">
        <v>5</v>
      </c>
      <c r="F53" s="193">
        <f t="shared" si="1"/>
        <v>497.5</v>
      </c>
      <c r="H53" s="194"/>
    </row>
    <row r="54" spans="1:8" ht="15" customHeight="1" x14ac:dyDescent="0.25">
      <c r="A54" s="188" t="s">
        <v>308</v>
      </c>
      <c r="B54" s="189" t="s">
        <v>309</v>
      </c>
      <c r="C54" s="99" t="s">
        <v>307</v>
      </c>
      <c r="D54" s="191">
        <v>89.55</v>
      </c>
      <c r="E54" s="192">
        <v>0</v>
      </c>
      <c r="F54" s="193">
        <f t="shared" si="1"/>
        <v>0</v>
      </c>
      <c r="H54" s="194"/>
    </row>
    <row r="55" spans="1:8" ht="15" customHeight="1" x14ac:dyDescent="0.25">
      <c r="A55" s="188" t="s">
        <v>310</v>
      </c>
      <c r="B55" s="189" t="s">
        <v>311</v>
      </c>
      <c r="C55" s="99" t="s">
        <v>312</v>
      </c>
      <c r="D55" s="191">
        <v>1.58</v>
      </c>
      <c r="E55" s="192">
        <v>100</v>
      </c>
      <c r="F55" s="193">
        <f t="shared" si="1"/>
        <v>158</v>
      </c>
      <c r="H55" s="198"/>
    </row>
    <row r="56" spans="1:8" ht="15" customHeight="1" x14ac:dyDescent="0.25">
      <c r="A56" s="188" t="s">
        <v>313</v>
      </c>
      <c r="B56" s="77" t="s">
        <v>314</v>
      </c>
      <c r="C56" s="200" t="s">
        <v>312</v>
      </c>
      <c r="D56" s="196">
        <v>0.45</v>
      </c>
      <c r="E56" s="201">
        <v>25</v>
      </c>
      <c r="F56" s="193">
        <f t="shared" si="1"/>
        <v>11.25</v>
      </c>
      <c r="H56" s="194"/>
    </row>
    <row r="57" spans="1:8" ht="15" customHeight="1" x14ac:dyDescent="0.25">
      <c r="A57" s="188" t="s">
        <v>315</v>
      </c>
      <c r="B57" s="189" t="s">
        <v>316</v>
      </c>
      <c r="C57" s="99" t="s">
        <v>312</v>
      </c>
      <c r="D57" s="191">
        <v>1.29</v>
      </c>
      <c r="E57" s="192">
        <v>6</v>
      </c>
      <c r="F57" s="193">
        <f t="shared" si="1"/>
        <v>7.74</v>
      </c>
      <c r="H57" s="194"/>
    </row>
    <row r="58" spans="1:8" ht="15" customHeight="1" x14ac:dyDescent="0.25">
      <c r="A58" s="188" t="s">
        <v>317</v>
      </c>
      <c r="B58" s="189" t="s">
        <v>318</v>
      </c>
      <c r="C58" s="190" t="s">
        <v>219</v>
      </c>
      <c r="D58" s="191">
        <v>34.11</v>
      </c>
      <c r="E58" s="192">
        <v>0</v>
      </c>
      <c r="F58" s="193">
        <f t="shared" si="1"/>
        <v>0</v>
      </c>
      <c r="H58" s="198"/>
    </row>
    <row r="59" spans="1:8" ht="15" customHeight="1" x14ac:dyDescent="0.25">
      <c r="A59" s="188" t="s">
        <v>319</v>
      </c>
      <c r="B59" s="189" t="s">
        <v>320</v>
      </c>
      <c r="C59" s="190" t="s">
        <v>219</v>
      </c>
      <c r="D59" s="191">
        <v>155</v>
      </c>
      <c r="E59" s="192">
        <v>0</v>
      </c>
      <c r="F59" s="193">
        <f t="shared" si="1"/>
        <v>0</v>
      </c>
      <c r="H59" s="198"/>
    </row>
    <row r="60" spans="1:8" ht="15" customHeight="1" x14ac:dyDescent="0.25">
      <c r="A60" s="188" t="s">
        <v>321</v>
      </c>
      <c r="B60" s="77" t="s">
        <v>322</v>
      </c>
      <c r="C60" s="190" t="s">
        <v>219</v>
      </c>
      <c r="D60" s="196">
        <v>9.8000000000000007</v>
      </c>
      <c r="E60" s="202">
        <v>3</v>
      </c>
      <c r="F60" s="193">
        <f t="shared" si="1"/>
        <v>29.400000000000002</v>
      </c>
      <c r="H60" s="198"/>
    </row>
    <row r="61" spans="1:8" ht="15" customHeight="1" x14ac:dyDescent="0.25">
      <c r="A61" s="188" t="s">
        <v>323</v>
      </c>
      <c r="B61" s="189" t="s">
        <v>324</v>
      </c>
      <c r="C61" s="99" t="s">
        <v>325</v>
      </c>
      <c r="D61" s="191">
        <v>0.73</v>
      </c>
      <c r="E61" s="192">
        <v>12</v>
      </c>
      <c r="F61" s="193">
        <f t="shared" si="1"/>
        <v>8.76</v>
      </c>
      <c r="H61" s="198"/>
    </row>
    <row r="62" spans="1:8" ht="15" customHeight="1" x14ac:dyDescent="0.25">
      <c r="A62" s="188" t="s">
        <v>326</v>
      </c>
      <c r="B62" s="77" t="s">
        <v>327</v>
      </c>
      <c r="C62" s="200" t="s">
        <v>312</v>
      </c>
      <c r="D62" s="196">
        <v>38.950000000000003</v>
      </c>
      <c r="E62" s="201">
        <v>3</v>
      </c>
      <c r="F62" s="193">
        <f t="shared" si="1"/>
        <v>116.85000000000001</v>
      </c>
      <c r="H62" s="198"/>
    </row>
    <row r="63" spans="1:8" ht="15" customHeight="1" x14ac:dyDescent="0.25">
      <c r="A63" s="188" t="s">
        <v>328</v>
      </c>
      <c r="B63" s="77" t="s">
        <v>329</v>
      </c>
      <c r="C63" s="190" t="s">
        <v>219</v>
      </c>
      <c r="D63" s="196">
        <v>172.46</v>
      </c>
      <c r="E63" s="202">
        <v>3</v>
      </c>
      <c r="F63" s="193">
        <f t="shared" si="1"/>
        <v>517.38</v>
      </c>
      <c r="H63" s="198"/>
    </row>
    <row r="64" spans="1:8" ht="15" customHeight="1" x14ac:dyDescent="0.25">
      <c r="A64" s="188" t="s">
        <v>330</v>
      </c>
      <c r="B64" s="189" t="s">
        <v>331</v>
      </c>
      <c r="C64" s="99" t="s">
        <v>332</v>
      </c>
      <c r="D64" s="191">
        <v>659.25</v>
      </c>
      <c r="E64" s="192">
        <v>3</v>
      </c>
      <c r="F64" s="193">
        <f t="shared" si="1"/>
        <v>1977.75</v>
      </c>
      <c r="H64" s="198"/>
    </row>
    <row r="65" spans="1:8" ht="15" customHeight="1" x14ac:dyDescent="0.25">
      <c r="A65" s="188" t="s">
        <v>333</v>
      </c>
      <c r="B65" s="189" t="s">
        <v>334</v>
      </c>
      <c r="C65" s="190" t="s">
        <v>219</v>
      </c>
      <c r="D65" s="191">
        <v>5.92</v>
      </c>
      <c r="E65" s="192">
        <v>12</v>
      </c>
      <c r="F65" s="193">
        <f t="shared" si="1"/>
        <v>71.039999999999992</v>
      </c>
      <c r="H65" s="198"/>
    </row>
    <row r="66" spans="1:8" ht="15" customHeight="1" x14ac:dyDescent="0.25">
      <c r="A66" s="188" t="s">
        <v>335</v>
      </c>
      <c r="B66" s="77" t="s">
        <v>336</v>
      </c>
      <c r="C66" s="190" t="s">
        <v>219</v>
      </c>
      <c r="D66" s="196">
        <v>11.06</v>
      </c>
      <c r="E66" s="201">
        <v>12</v>
      </c>
      <c r="F66" s="193">
        <f t="shared" si="1"/>
        <v>132.72</v>
      </c>
      <c r="H66" s="198"/>
    </row>
    <row r="67" spans="1:8" ht="15" customHeight="1" x14ac:dyDescent="0.25">
      <c r="A67" s="188" t="s">
        <v>337</v>
      </c>
      <c r="B67" s="77" t="s">
        <v>338</v>
      </c>
      <c r="C67" s="190" t="s">
        <v>339</v>
      </c>
      <c r="D67" s="196">
        <v>32.96</v>
      </c>
      <c r="E67" s="201">
        <v>2</v>
      </c>
      <c r="F67" s="193">
        <f t="shared" si="1"/>
        <v>65.92</v>
      </c>
      <c r="H67" s="198"/>
    </row>
    <row r="68" spans="1:8" ht="15" customHeight="1" x14ac:dyDescent="0.25">
      <c r="A68" s="188" t="s">
        <v>340</v>
      </c>
      <c r="B68" s="77" t="s">
        <v>341</v>
      </c>
      <c r="C68" s="200" t="s">
        <v>312</v>
      </c>
      <c r="D68" s="196">
        <v>0.67</v>
      </c>
      <c r="E68" s="201">
        <v>5</v>
      </c>
      <c r="F68" s="193">
        <f t="shared" si="1"/>
        <v>3.35</v>
      </c>
      <c r="H68" s="198"/>
    </row>
    <row r="69" spans="1:8" ht="15" customHeight="1" x14ac:dyDescent="0.25">
      <c r="A69" s="188" t="s">
        <v>342</v>
      </c>
      <c r="B69" s="77" t="s">
        <v>343</v>
      </c>
      <c r="C69" s="200" t="s">
        <v>312</v>
      </c>
      <c r="D69" s="196">
        <v>1.54</v>
      </c>
      <c r="E69" s="201">
        <v>5</v>
      </c>
      <c r="F69" s="193">
        <f t="shared" si="1"/>
        <v>7.7</v>
      </c>
      <c r="H69" s="198"/>
    </row>
    <row r="70" spans="1:8" ht="15" customHeight="1" x14ac:dyDescent="0.25">
      <c r="A70" s="188" t="s">
        <v>344</v>
      </c>
      <c r="B70" s="189" t="s">
        <v>345</v>
      </c>
      <c r="C70" s="190" t="s">
        <v>219</v>
      </c>
      <c r="D70" s="191">
        <v>72.92</v>
      </c>
      <c r="E70" s="192">
        <v>1</v>
      </c>
      <c r="F70" s="193">
        <f t="shared" si="1"/>
        <v>72.92</v>
      </c>
      <c r="H70" s="198"/>
    </row>
    <row r="71" spans="1:8" ht="15" customHeight="1" x14ac:dyDescent="0.25">
      <c r="A71" s="188" t="s">
        <v>346</v>
      </c>
      <c r="B71" s="77" t="s">
        <v>347</v>
      </c>
      <c r="C71" s="190" t="s">
        <v>219</v>
      </c>
      <c r="D71" s="196">
        <v>444.42</v>
      </c>
      <c r="E71" s="202">
        <v>2</v>
      </c>
      <c r="F71" s="193">
        <f t="shared" si="1"/>
        <v>888.84</v>
      </c>
      <c r="H71" s="198"/>
    </row>
    <row r="72" spans="1:8" ht="15" customHeight="1" x14ac:dyDescent="0.25">
      <c r="A72" s="188" t="s">
        <v>348</v>
      </c>
      <c r="B72" s="195" t="s">
        <v>349</v>
      </c>
      <c r="C72" s="190" t="s">
        <v>339</v>
      </c>
      <c r="D72" s="196">
        <v>19</v>
      </c>
      <c r="E72" s="197">
        <v>5</v>
      </c>
      <c r="F72" s="193">
        <f t="shared" si="1"/>
        <v>95</v>
      </c>
      <c r="H72" s="198"/>
    </row>
    <row r="73" spans="1:8" ht="15" customHeight="1" x14ac:dyDescent="0.25">
      <c r="A73" s="188" t="s">
        <v>350</v>
      </c>
      <c r="B73" s="189" t="s">
        <v>351</v>
      </c>
      <c r="C73" s="190" t="s">
        <v>219</v>
      </c>
      <c r="D73" s="191">
        <v>269.86</v>
      </c>
      <c r="E73" s="192">
        <v>0</v>
      </c>
      <c r="F73" s="193">
        <f t="shared" si="1"/>
        <v>0</v>
      </c>
      <c r="H73" s="198"/>
    </row>
    <row r="74" spans="1:8" ht="15" customHeight="1" x14ac:dyDescent="0.25">
      <c r="A74" s="188" t="s">
        <v>352</v>
      </c>
      <c r="B74" s="189" t="s">
        <v>353</v>
      </c>
      <c r="C74" s="190" t="s">
        <v>219</v>
      </c>
      <c r="D74" s="191">
        <v>767</v>
      </c>
      <c r="E74" s="192">
        <v>1</v>
      </c>
      <c r="F74" s="193">
        <f t="shared" si="1"/>
        <v>767</v>
      </c>
      <c r="H74" s="198"/>
    </row>
    <row r="75" spans="1:8" ht="15" customHeight="1" x14ac:dyDescent="0.25">
      <c r="A75" s="188" t="s">
        <v>354</v>
      </c>
      <c r="B75" s="77" t="s">
        <v>355</v>
      </c>
      <c r="C75" s="190" t="s">
        <v>219</v>
      </c>
      <c r="D75" s="196">
        <v>0.18</v>
      </c>
      <c r="E75" s="197">
        <v>10</v>
      </c>
      <c r="F75" s="193">
        <f t="shared" si="1"/>
        <v>1.7999999999999998</v>
      </c>
      <c r="H75" s="198"/>
    </row>
    <row r="76" spans="1:8" ht="15" customHeight="1" x14ac:dyDescent="0.25">
      <c r="A76" s="188" t="s">
        <v>356</v>
      </c>
      <c r="B76" s="77" t="s">
        <v>357</v>
      </c>
      <c r="C76" s="190" t="s">
        <v>219</v>
      </c>
      <c r="D76" s="196">
        <v>0.31</v>
      </c>
      <c r="E76" s="197">
        <v>10</v>
      </c>
      <c r="F76" s="193">
        <f t="shared" si="1"/>
        <v>3.1</v>
      </c>
      <c r="H76" s="198"/>
    </row>
    <row r="77" spans="1:8" ht="15" customHeight="1" x14ac:dyDescent="0.25">
      <c r="A77" s="188" t="s">
        <v>358</v>
      </c>
      <c r="B77" s="77" t="s">
        <v>359</v>
      </c>
      <c r="C77" s="190" t="s">
        <v>219</v>
      </c>
      <c r="D77" s="196">
        <v>2.4300000000000002</v>
      </c>
      <c r="E77" s="197">
        <v>5</v>
      </c>
      <c r="F77" s="193">
        <f t="shared" si="1"/>
        <v>12.15</v>
      </c>
      <c r="H77" s="198"/>
    </row>
    <row r="78" spans="1:8" ht="15" customHeight="1" x14ac:dyDescent="0.25">
      <c r="A78" s="188" t="s">
        <v>360</v>
      </c>
      <c r="B78" s="77" t="s">
        <v>361</v>
      </c>
      <c r="C78" s="190" t="s">
        <v>219</v>
      </c>
      <c r="D78" s="196">
        <v>5.31</v>
      </c>
      <c r="E78" s="197">
        <v>10</v>
      </c>
      <c r="F78" s="193">
        <f t="shared" si="1"/>
        <v>53.099999999999994</v>
      </c>
      <c r="H78" s="198"/>
    </row>
    <row r="79" spans="1:8" ht="15" customHeight="1" x14ac:dyDescent="0.25">
      <c r="A79" s="188" t="s">
        <v>362</v>
      </c>
      <c r="B79" s="195" t="s">
        <v>363</v>
      </c>
      <c r="C79" s="190" t="s">
        <v>219</v>
      </c>
      <c r="D79" s="196">
        <v>28.55</v>
      </c>
      <c r="E79" s="197">
        <v>1</v>
      </c>
      <c r="F79" s="193">
        <f t="shared" si="1"/>
        <v>28.55</v>
      </c>
      <c r="H79" s="198"/>
    </row>
    <row r="80" spans="1:8" ht="15" customHeight="1" x14ac:dyDescent="0.25">
      <c r="A80" s="188" t="s">
        <v>364</v>
      </c>
      <c r="B80" s="189" t="s">
        <v>365</v>
      </c>
      <c r="C80" s="99" t="s">
        <v>332</v>
      </c>
      <c r="D80" s="191">
        <v>159.97999999999999</v>
      </c>
      <c r="E80" s="192">
        <v>6</v>
      </c>
      <c r="F80" s="193">
        <f t="shared" si="1"/>
        <v>959.87999999999988</v>
      </c>
      <c r="H80" s="198"/>
    </row>
    <row r="81" spans="1:8" ht="15" customHeight="1" x14ac:dyDescent="0.25">
      <c r="A81" s="188" t="s">
        <v>366</v>
      </c>
      <c r="B81" s="189" t="s">
        <v>367</v>
      </c>
      <c r="C81" s="99" t="s">
        <v>332</v>
      </c>
      <c r="D81" s="191">
        <v>201.13</v>
      </c>
      <c r="E81" s="192">
        <v>5</v>
      </c>
      <c r="F81" s="193">
        <f t="shared" si="1"/>
        <v>1005.65</v>
      </c>
      <c r="H81" s="198"/>
    </row>
    <row r="82" spans="1:8" ht="15" customHeight="1" x14ac:dyDescent="0.25">
      <c r="A82" s="188" t="s">
        <v>368</v>
      </c>
      <c r="B82" s="189" t="s">
        <v>369</v>
      </c>
      <c r="C82" s="99" t="s">
        <v>332</v>
      </c>
      <c r="D82" s="191">
        <v>65.75</v>
      </c>
      <c r="E82" s="192">
        <v>100</v>
      </c>
      <c r="F82" s="193">
        <f t="shared" si="1"/>
        <v>6575</v>
      </c>
      <c r="H82" s="198"/>
    </row>
    <row r="83" spans="1:8" ht="15" customHeight="1" x14ac:dyDescent="0.25">
      <c r="A83" s="188" t="s">
        <v>370</v>
      </c>
      <c r="B83" s="189" t="s">
        <v>371</v>
      </c>
      <c r="C83" s="99" t="s">
        <v>332</v>
      </c>
      <c r="D83" s="191">
        <v>9.4499999999999993</v>
      </c>
      <c r="E83" s="192">
        <v>0</v>
      </c>
      <c r="F83" s="193">
        <f t="shared" si="1"/>
        <v>0</v>
      </c>
      <c r="H83" s="198"/>
    </row>
    <row r="84" spans="1:8" ht="15" customHeight="1" x14ac:dyDescent="0.25">
      <c r="A84" s="188" t="s">
        <v>372</v>
      </c>
      <c r="B84" s="77" t="s">
        <v>373</v>
      </c>
      <c r="C84" s="190" t="s">
        <v>219</v>
      </c>
      <c r="D84" s="196">
        <v>147.43</v>
      </c>
      <c r="E84" s="197">
        <v>2</v>
      </c>
      <c r="F84" s="193">
        <f t="shared" si="1"/>
        <v>294.86</v>
      </c>
      <c r="H84" s="194"/>
    </row>
    <row r="85" spans="1:8" ht="15" customHeight="1" x14ac:dyDescent="0.25">
      <c r="A85" s="188" t="s">
        <v>374</v>
      </c>
      <c r="B85" s="77" t="s">
        <v>375</v>
      </c>
      <c r="C85" s="190" t="s">
        <v>219</v>
      </c>
      <c r="D85" s="196">
        <v>512.34</v>
      </c>
      <c r="E85" s="201">
        <v>2</v>
      </c>
      <c r="F85" s="193">
        <f t="shared" si="1"/>
        <v>1024.68</v>
      </c>
      <c r="H85" s="194"/>
    </row>
    <row r="86" spans="1:8" ht="15" customHeight="1" x14ac:dyDescent="0.25">
      <c r="A86" s="188" t="s">
        <v>376</v>
      </c>
      <c r="B86" s="77" t="s">
        <v>377</v>
      </c>
      <c r="C86" s="190" t="s">
        <v>219</v>
      </c>
      <c r="D86" s="196">
        <v>472.92</v>
      </c>
      <c r="E86" s="202">
        <v>2</v>
      </c>
      <c r="F86" s="193">
        <f t="shared" si="1"/>
        <v>945.84</v>
      </c>
      <c r="H86" s="154"/>
    </row>
    <row r="87" spans="1:8" ht="15" customHeight="1" x14ac:dyDescent="0.25">
      <c r="A87" s="188" t="s">
        <v>378</v>
      </c>
      <c r="B87" s="77" t="s">
        <v>379</v>
      </c>
      <c r="C87" s="190" t="s">
        <v>219</v>
      </c>
      <c r="D87" s="196">
        <v>144.5</v>
      </c>
      <c r="E87" s="201">
        <v>2</v>
      </c>
      <c r="F87" s="193">
        <f t="shared" si="1"/>
        <v>289</v>
      </c>
      <c r="H87" s="154"/>
    </row>
    <row r="88" spans="1:8" ht="15" customHeight="1" x14ac:dyDescent="0.25">
      <c r="A88" s="188" t="s">
        <v>380</v>
      </c>
      <c r="B88" s="195" t="s">
        <v>381</v>
      </c>
      <c r="C88" s="190" t="s">
        <v>219</v>
      </c>
      <c r="D88" s="196">
        <v>52.1</v>
      </c>
      <c r="E88" s="197">
        <v>1</v>
      </c>
      <c r="F88" s="193">
        <f t="shared" si="1"/>
        <v>52.1</v>
      </c>
      <c r="H88" s="154"/>
    </row>
    <row r="89" spans="1:8" ht="15" customHeight="1" x14ac:dyDescent="0.25">
      <c r="A89" s="188" t="s">
        <v>382</v>
      </c>
      <c r="B89" s="77" t="s">
        <v>383</v>
      </c>
      <c r="C89" s="190" t="s">
        <v>219</v>
      </c>
      <c r="D89" s="196">
        <v>41.04</v>
      </c>
      <c r="E89" s="201">
        <v>1</v>
      </c>
      <c r="F89" s="193">
        <f t="shared" si="1"/>
        <v>41.04</v>
      </c>
      <c r="H89" s="154"/>
    </row>
    <row r="90" spans="1:8" ht="15" customHeight="1" x14ac:dyDescent="0.25">
      <c r="A90" s="188" t="s">
        <v>384</v>
      </c>
      <c r="B90" s="77" t="s">
        <v>385</v>
      </c>
      <c r="C90" s="190" t="s">
        <v>219</v>
      </c>
      <c r="D90" s="196">
        <v>70.62</v>
      </c>
      <c r="E90" s="201">
        <v>1</v>
      </c>
      <c r="F90" s="193">
        <f t="shared" si="1"/>
        <v>70.62</v>
      </c>
      <c r="H90" s="198"/>
    </row>
    <row r="91" spans="1:8" ht="15" customHeight="1" x14ac:dyDescent="0.25">
      <c r="A91" s="188" t="s">
        <v>386</v>
      </c>
      <c r="B91" s="77" t="s">
        <v>387</v>
      </c>
      <c r="C91" s="190" t="s">
        <v>219</v>
      </c>
      <c r="D91" s="196">
        <v>98.37</v>
      </c>
      <c r="E91" s="201">
        <v>1</v>
      </c>
      <c r="F91" s="193">
        <f t="shared" si="1"/>
        <v>98.37</v>
      </c>
      <c r="H91" s="194"/>
    </row>
    <row r="92" spans="1:8" ht="15" customHeight="1" x14ac:dyDescent="0.25">
      <c r="A92" s="188" t="s">
        <v>388</v>
      </c>
      <c r="B92" s="77" t="s">
        <v>389</v>
      </c>
      <c r="C92" s="190" t="s">
        <v>219</v>
      </c>
      <c r="D92" s="196">
        <v>201.01</v>
      </c>
      <c r="E92" s="201">
        <v>1</v>
      </c>
      <c r="F92" s="193">
        <f t="shared" si="1"/>
        <v>201.01</v>
      </c>
      <c r="H92" s="203"/>
    </row>
    <row r="93" spans="1:8" ht="15" customHeight="1" x14ac:dyDescent="0.25">
      <c r="A93" s="188" t="s">
        <v>390</v>
      </c>
      <c r="B93" s="77" t="s">
        <v>391</v>
      </c>
      <c r="C93" s="190" t="s">
        <v>219</v>
      </c>
      <c r="D93" s="196">
        <v>246.99</v>
      </c>
      <c r="E93" s="201">
        <v>1</v>
      </c>
      <c r="F93" s="193">
        <f t="shared" si="1"/>
        <v>246.99</v>
      </c>
      <c r="H93" s="203"/>
    </row>
    <row r="94" spans="1:8" ht="15" customHeight="1" x14ac:dyDescent="0.25">
      <c r="A94" s="188" t="s">
        <v>392</v>
      </c>
      <c r="B94" s="77" t="s">
        <v>393</v>
      </c>
      <c r="C94" s="190" t="s">
        <v>219</v>
      </c>
      <c r="D94" s="196">
        <v>17.47</v>
      </c>
      <c r="E94" s="201">
        <v>1</v>
      </c>
      <c r="F94" s="193">
        <f t="shared" si="1"/>
        <v>17.47</v>
      </c>
      <c r="H94" s="203"/>
    </row>
    <row r="95" spans="1:8" ht="15" customHeight="1" x14ac:dyDescent="0.25">
      <c r="A95" s="188" t="s">
        <v>394</v>
      </c>
      <c r="B95" s="77" t="s">
        <v>395</v>
      </c>
      <c r="C95" s="190" t="s">
        <v>219</v>
      </c>
      <c r="D95" s="196">
        <v>57.88</v>
      </c>
      <c r="E95" s="201">
        <v>1</v>
      </c>
      <c r="F95" s="193">
        <f t="shared" si="1"/>
        <v>57.88</v>
      </c>
      <c r="H95" s="194"/>
    </row>
    <row r="96" spans="1:8" ht="15" customHeight="1" x14ac:dyDescent="0.25">
      <c r="A96" s="188" t="s">
        <v>396</v>
      </c>
      <c r="B96" s="77" t="s">
        <v>397</v>
      </c>
      <c r="C96" s="190" t="s">
        <v>219</v>
      </c>
      <c r="D96" s="196">
        <v>20.76</v>
      </c>
      <c r="E96" s="201">
        <v>1</v>
      </c>
      <c r="F96" s="193">
        <f t="shared" si="1"/>
        <v>20.76</v>
      </c>
      <c r="H96" s="198"/>
    </row>
    <row r="97" spans="1:8" ht="15" customHeight="1" x14ac:dyDescent="0.25">
      <c r="A97" s="188" t="s">
        <v>398</v>
      </c>
      <c r="B97" s="77" t="s">
        <v>399</v>
      </c>
      <c r="C97" s="190" t="s">
        <v>219</v>
      </c>
      <c r="D97" s="196">
        <v>103</v>
      </c>
      <c r="E97" s="202">
        <v>1</v>
      </c>
      <c r="F97" s="193">
        <f t="shared" si="1"/>
        <v>103</v>
      </c>
      <c r="H97" s="198"/>
    </row>
    <row r="98" spans="1:8" ht="15" customHeight="1" x14ac:dyDescent="0.25">
      <c r="A98" s="188" t="s">
        <v>400</v>
      </c>
      <c r="B98" s="195" t="s">
        <v>401</v>
      </c>
      <c r="C98" s="190" t="s">
        <v>219</v>
      </c>
      <c r="D98" s="196">
        <v>35.26</v>
      </c>
      <c r="E98" s="197">
        <v>5</v>
      </c>
      <c r="F98" s="193">
        <f t="shared" si="1"/>
        <v>176.29999999999998</v>
      </c>
      <c r="H98" s="198"/>
    </row>
    <row r="99" spans="1:8" ht="15" customHeight="1" x14ac:dyDescent="0.25">
      <c r="A99" s="188" t="s">
        <v>402</v>
      </c>
      <c r="B99" s="77" t="s">
        <v>403</v>
      </c>
      <c r="C99" s="190" t="s">
        <v>219</v>
      </c>
      <c r="D99" s="196">
        <v>12.72</v>
      </c>
      <c r="E99" s="201">
        <v>12</v>
      </c>
      <c r="F99" s="193">
        <f t="shared" si="1"/>
        <v>152.64000000000001</v>
      </c>
      <c r="H99" s="194"/>
    </row>
    <row r="100" spans="1:8" ht="15" customHeight="1" x14ac:dyDescent="0.25">
      <c r="A100" s="188" t="s">
        <v>404</v>
      </c>
      <c r="B100" s="77" t="s">
        <v>405</v>
      </c>
      <c r="C100" s="190" t="s">
        <v>219</v>
      </c>
      <c r="D100" s="196">
        <v>20.72</v>
      </c>
      <c r="E100" s="201">
        <v>10</v>
      </c>
      <c r="F100" s="193">
        <f t="shared" si="1"/>
        <v>207.2</v>
      </c>
      <c r="H100" s="194"/>
    </row>
    <row r="101" spans="1:8" ht="15" customHeight="1" x14ac:dyDescent="0.25">
      <c r="A101" s="188" t="s">
        <v>406</v>
      </c>
      <c r="B101" s="189" t="s">
        <v>407</v>
      </c>
      <c r="C101" s="99" t="s">
        <v>408</v>
      </c>
      <c r="D101" s="191">
        <v>21.27</v>
      </c>
      <c r="E101" s="192">
        <v>12</v>
      </c>
      <c r="F101" s="193">
        <f t="shared" si="1"/>
        <v>255.24</v>
      </c>
      <c r="H101" s="194"/>
    </row>
    <row r="102" spans="1:8" ht="15" customHeight="1" x14ac:dyDescent="0.25">
      <c r="A102" s="188" t="s">
        <v>409</v>
      </c>
      <c r="B102" s="189" t="s">
        <v>410</v>
      </c>
      <c r="C102" s="99" t="s">
        <v>339</v>
      </c>
      <c r="D102" s="191">
        <v>27.23</v>
      </c>
      <c r="E102" s="192">
        <v>20</v>
      </c>
      <c r="F102" s="193">
        <f t="shared" si="1"/>
        <v>544.6</v>
      </c>
      <c r="H102" s="194"/>
    </row>
    <row r="103" spans="1:8" ht="15" customHeight="1" x14ac:dyDescent="0.25">
      <c r="A103" s="188" t="s">
        <v>411</v>
      </c>
      <c r="B103" s="189" t="s">
        <v>412</v>
      </c>
      <c r="C103" s="99" t="s">
        <v>339</v>
      </c>
      <c r="D103" s="191">
        <v>30.98</v>
      </c>
      <c r="E103" s="192">
        <v>20</v>
      </c>
      <c r="F103" s="193">
        <f t="shared" si="1"/>
        <v>619.6</v>
      </c>
      <c r="H103" s="203"/>
    </row>
    <row r="104" spans="1:8" ht="15" customHeight="1" x14ac:dyDescent="0.25">
      <c r="A104" s="188" t="s">
        <v>413</v>
      </c>
      <c r="B104" s="204" t="s">
        <v>414</v>
      </c>
      <c r="C104" s="190" t="s">
        <v>219</v>
      </c>
      <c r="D104" s="196">
        <v>221.44</v>
      </c>
      <c r="E104" s="205">
        <v>3</v>
      </c>
      <c r="F104" s="193">
        <f t="shared" si="1"/>
        <v>664.31999999999994</v>
      </c>
      <c r="H104" s="203"/>
    </row>
    <row r="105" spans="1:8" ht="15" customHeight="1" x14ac:dyDescent="0.25">
      <c r="A105" s="188" t="s">
        <v>415</v>
      </c>
      <c r="B105" s="189" t="s">
        <v>416</v>
      </c>
      <c r="C105" s="190" t="s">
        <v>219</v>
      </c>
      <c r="D105" s="191">
        <v>190.61</v>
      </c>
      <c r="E105" s="192">
        <v>3</v>
      </c>
      <c r="F105" s="193">
        <f t="shared" si="1"/>
        <v>571.83000000000004</v>
      </c>
      <c r="H105" s="194"/>
    </row>
    <row r="106" spans="1:8" ht="15" customHeight="1" x14ac:dyDescent="0.25">
      <c r="A106" s="188" t="s">
        <v>417</v>
      </c>
      <c r="B106" s="189" t="s">
        <v>418</v>
      </c>
      <c r="C106" s="190" t="s">
        <v>219</v>
      </c>
      <c r="D106" s="191">
        <v>179.39</v>
      </c>
      <c r="E106" s="192">
        <v>3</v>
      </c>
      <c r="F106" s="193">
        <f t="shared" si="1"/>
        <v>538.16999999999996</v>
      </c>
      <c r="H106" s="194"/>
    </row>
    <row r="107" spans="1:8" ht="15" customHeight="1" x14ac:dyDescent="0.25">
      <c r="A107" s="188" t="s">
        <v>419</v>
      </c>
      <c r="B107" s="77" t="s">
        <v>420</v>
      </c>
      <c r="C107" s="190" t="s">
        <v>219</v>
      </c>
      <c r="D107" s="196">
        <v>298.99</v>
      </c>
      <c r="E107" s="201">
        <v>1</v>
      </c>
      <c r="F107" s="193">
        <f t="shared" si="1"/>
        <v>298.99</v>
      </c>
      <c r="H107" s="198"/>
    </row>
    <row r="108" spans="1:8" ht="15" customHeight="1" x14ac:dyDescent="0.25">
      <c r="A108" s="188" t="s">
        <v>421</v>
      </c>
      <c r="B108" s="77" t="s">
        <v>422</v>
      </c>
      <c r="C108" s="190" t="s">
        <v>219</v>
      </c>
      <c r="D108" s="196">
        <v>427.57</v>
      </c>
      <c r="E108" s="201">
        <v>1</v>
      </c>
      <c r="F108" s="193">
        <f t="shared" si="1"/>
        <v>427.57</v>
      </c>
      <c r="H108" s="198"/>
    </row>
    <row r="109" spans="1:8" ht="15" customHeight="1" x14ac:dyDescent="0.25">
      <c r="A109" s="188" t="s">
        <v>423</v>
      </c>
      <c r="B109" s="77" t="s">
        <v>424</v>
      </c>
      <c r="C109" s="190" t="s">
        <v>219</v>
      </c>
      <c r="D109" s="196">
        <v>590.55999999999995</v>
      </c>
      <c r="E109" s="201">
        <v>1</v>
      </c>
      <c r="F109" s="193">
        <f t="shared" si="1"/>
        <v>590.55999999999995</v>
      </c>
      <c r="H109" s="198"/>
    </row>
    <row r="110" spans="1:8" ht="15" customHeight="1" x14ac:dyDescent="0.25">
      <c r="A110" s="188" t="s">
        <v>425</v>
      </c>
      <c r="B110" s="77" t="s">
        <v>426</v>
      </c>
      <c r="C110" s="190" t="s">
        <v>219</v>
      </c>
      <c r="D110" s="196">
        <v>265.27</v>
      </c>
      <c r="E110" s="201">
        <v>1</v>
      </c>
      <c r="F110" s="193">
        <f t="shared" si="1"/>
        <v>265.27</v>
      </c>
      <c r="H110" s="198"/>
    </row>
    <row r="111" spans="1:8" ht="15" customHeight="1" x14ac:dyDescent="0.25">
      <c r="A111" s="188" t="s">
        <v>427</v>
      </c>
      <c r="B111" s="77" t="s">
        <v>428</v>
      </c>
      <c r="C111" s="190" t="s">
        <v>219</v>
      </c>
      <c r="D111" s="196">
        <v>362.24</v>
      </c>
      <c r="E111" s="201">
        <v>1</v>
      </c>
      <c r="F111" s="193">
        <f t="shared" si="1"/>
        <v>362.24</v>
      </c>
      <c r="H111" s="198"/>
    </row>
    <row r="112" spans="1:8" ht="15" customHeight="1" x14ac:dyDescent="0.25">
      <c r="A112" s="188" t="s">
        <v>429</v>
      </c>
      <c r="B112" s="77" t="s">
        <v>430</v>
      </c>
      <c r="C112" s="190" t="s">
        <v>219</v>
      </c>
      <c r="D112" s="196">
        <v>54.3</v>
      </c>
      <c r="E112" s="201">
        <v>5</v>
      </c>
      <c r="F112" s="193">
        <f t="shared" ref="F112" si="2">D112*E112</f>
        <v>271.5</v>
      </c>
      <c r="H112" s="198"/>
    </row>
    <row r="113" spans="1:7" ht="15" customHeight="1" thickBot="1" x14ac:dyDescent="0.3">
      <c r="A113" s="420" t="s">
        <v>431</v>
      </c>
      <c r="B113" s="412"/>
      <c r="C113" s="412"/>
      <c r="D113" s="412"/>
      <c r="E113" s="206" t="s">
        <v>294</v>
      </c>
      <c r="F113" s="207">
        <f>SUM(F48:F112)</f>
        <v>24207.300000000003</v>
      </c>
    </row>
    <row r="114" spans="1:7" ht="15" customHeight="1" thickBot="1" x14ac:dyDescent="0.3">
      <c r="A114" s="421"/>
      <c r="B114" s="421"/>
      <c r="C114" s="421"/>
      <c r="D114" s="421"/>
      <c r="E114" s="174" t="s">
        <v>295</v>
      </c>
      <c r="F114" s="208">
        <f>F113/12</f>
        <v>2017.2750000000003</v>
      </c>
    </row>
    <row r="115" spans="1:7" ht="15" customHeight="1" thickBot="1" x14ac:dyDescent="0.25">
      <c r="A115" s="269"/>
      <c r="B115" s="270"/>
      <c r="C115" s="271"/>
      <c r="D115" s="272"/>
      <c r="E115" s="273"/>
      <c r="F115" s="274"/>
    </row>
    <row r="116" spans="1:7" ht="15" customHeight="1" x14ac:dyDescent="0.25">
      <c r="A116" s="403" t="s">
        <v>432</v>
      </c>
      <c r="B116" s="405" t="s">
        <v>205</v>
      </c>
      <c r="C116" s="405" t="s">
        <v>206</v>
      </c>
      <c r="D116" s="416" t="s">
        <v>297</v>
      </c>
      <c r="E116" s="409" t="s">
        <v>208</v>
      </c>
      <c r="F116" s="418" t="s">
        <v>209</v>
      </c>
    </row>
    <row r="117" spans="1:7" ht="15" customHeight="1" thickBot="1" x14ac:dyDescent="0.3">
      <c r="A117" s="414"/>
      <c r="B117" s="406"/>
      <c r="C117" s="415"/>
      <c r="D117" s="417"/>
      <c r="E117" s="410"/>
      <c r="F117" s="419"/>
    </row>
    <row r="118" spans="1:7" ht="15" customHeight="1" x14ac:dyDescent="0.25">
      <c r="A118" s="182" t="s">
        <v>101</v>
      </c>
      <c r="B118" s="183" t="s">
        <v>433</v>
      </c>
      <c r="C118" s="184" t="s">
        <v>434</v>
      </c>
      <c r="D118" s="185">
        <v>5.28</v>
      </c>
      <c r="E118" s="186">
        <v>1200</v>
      </c>
      <c r="F118" s="187">
        <f t="shared" ref="F118" si="3">D118*E118</f>
        <v>6336</v>
      </c>
    </row>
    <row r="119" spans="1:7" ht="15" customHeight="1" thickBot="1" x14ac:dyDescent="0.3">
      <c r="A119" s="420" t="s">
        <v>431</v>
      </c>
      <c r="B119" s="412"/>
      <c r="C119" s="412"/>
      <c r="D119" s="412"/>
      <c r="E119" s="206" t="s">
        <v>294</v>
      </c>
      <c r="F119" s="207">
        <f>F118</f>
        <v>6336</v>
      </c>
    </row>
    <row r="120" spans="1:7" ht="15" customHeight="1" thickBot="1" x14ac:dyDescent="0.3">
      <c r="A120" s="422"/>
      <c r="B120" s="422"/>
      <c r="C120" s="422"/>
      <c r="D120" s="422"/>
      <c r="E120" s="174" t="s">
        <v>295</v>
      </c>
      <c r="F120" s="208">
        <f>F119/12</f>
        <v>528</v>
      </c>
    </row>
    <row r="121" spans="1:7" ht="15" customHeight="1" thickBot="1" x14ac:dyDescent="0.25">
      <c r="A121" s="269"/>
      <c r="B121" s="270"/>
      <c r="C121" s="271"/>
      <c r="D121" s="275"/>
      <c r="E121" s="273"/>
      <c r="F121" s="274"/>
    </row>
    <row r="122" spans="1:7" ht="15" customHeight="1" thickBot="1" x14ac:dyDescent="0.3">
      <c r="A122" s="423" t="s">
        <v>435</v>
      </c>
      <c r="B122" s="424"/>
      <c r="C122" s="424"/>
      <c r="D122" s="209"/>
      <c r="E122" s="210" t="s">
        <v>294</v>
      </c>
      <c r="F122" s="211">
        <f>F43+F113+F119</f>
        <v>44450.979999999996</v>
      </c>
    </row>
    <row r="123" spans="1:7" ht="15" customHeight="1" thickBot="1" x14ac:dyDescent="0.3">
      <c r="A123" s="425"/>
      <c r="B123" s="426"/>
      <c r="C123" s="426"/>
      <c r="D123" s="212"/>
      <c r="E123" s="213" t="s">
        <v>295</v>
      </c>
      <c r="F123" s="214">
        <f>F122/12</f>
        <v>3704.248333333333</v>
      </c>
    </row>
    <row r="124" spans="1:7" ht="15" customHeight="1" thickBot="1" x14ac:dyDescent="0.3">
      <c r="A124" s="427" t="s">
        <v>436</v>
      </c>
      <c r="B124" s="428"/>
      <c r="C124" s="428"/>
      <c r="D124" s="429"/>
      <c r="E124" s="276"/>
      <c r="F124" s="277">
        <f>'BDI Diferenciado'!D11</f>
        <v>0.17473213793103448</v>
      </c>
      <c r="G124" s="264"/>
    </row>
    <row r="125" spans="1:7" ht="15" customHeight="1" thickBot="1" x14ac:dyDescent="0.3">
      <c r="A125" s="423" t="s">
        <v>437</v>
      </c>
      <c r="B125" s="424"/>
      <c r="C125" s="424"/>
      <c r="D125" s="209"/>
      <c r="E125" s="215" t="s">
        <v>294</v>
      </c>
      <c r="F125" s="216">
        <f>F122*(1+F124)</f>
        <v>52217.99476852965</v>
      </c>
    </row>
    <row r="126" spans="1:7" ht="15" customHeight="1" thickBot="1" x14ac:dyDescent="0.3">
      <c r="A126" s="425"/>
      <c r="B126" s="426"/>
      <c r="C126" s="426"/>
      <c r="D126" s="217"/>
      <c r="E126" s="210" t="s">
        <v>295</v>
      </c>
      <c r="F126" s="211">
        <f>F125/12</f>
        <v>4351.4995640441375</v>
      </c>
    </row>
    <row r="127" spans="1:7" x14ac:dyDescent="0.25">
      <c r="A127" s="263"/>
      <c r="B127" s="263"/>
      <c r="C127" s="265"/>
      <c r="D127" s="266"/>
      <c r="E127" s="267"/>
      <c r="F127" s="268"/>
    </row>
  </sheetData>
  <mergeCells count="27">
    <mergeCell ref="A119:D119"/>
    <mergeCell ref="A120:D120"/>
    <mergeCell ref="A122:C123"/>
    <mergeCell ref="A124:D124"/>
    <mergeCell ref="A125:C126"/>
    <mergeCell ref="E46:E47"/>
    <mergeCell ref="F46:F47"/>
    <mergeCell ref="A113:D113"/>
    <mergeCell ref="A114:D114"/>
    <mergeCell ref="A116:A117"/>
    <mergeCell ref="B116:B117"/>
    <mergeCell ref="C116:C117"/>
    <mergeCell ref="D116:D117"/>
    <mergeCell ref="E116:E117"/>
    <mergeCell ref="F116:F117"/>
    <mergeCell ref="A43:D43"/>
    <mergeCell ref="A44:D44"/>
    <mergeCell ref="A46:A47"/>
    <mergeCell ref="B46:B47"/>
    <mergeCell ref="C46:C47"/>
    <mergeCell ref="D46:D47"/>
    <mergeCell ref="F1:F2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FF00"/>
  </sheetPr>
  <dimension ref="A1:I51"/>
  <sheetViews>
    <sheetView topLeftCell="A14" zoomScale="90" zoomScaleNormal="90" workbookViewId="0">
      <selection activeCell="E32" sqref="E32"/>
    </sheetView>
  </sheetViews>
  <sheetFormatPr defaultColWidth="0" defaultRowHeight="15" zeroHeight="1" x14ac:dyDescent="0.25"/>
  <cols>
    <col min="1" max="1" width="4.42578125" customWidth="1"/>
    <col min="2" max="2" width="44.85546875" customWidth="1"/>
    <col min="3" max="3" width="10.28515625" customWidth="1"/>
    <col min="4" max="4" width="15.28515625" customWidth="1"/>
    <col min="5" max="5" width="11.42578125" bestFit="1" customWidth="1"/>
    <col min="6" max="6" width="15" customWidth="1"/>
    <col min="7" max="7" width="15.85546875" customWidth="1"/>
    <col min="8" max="8" width="19.140625" bestFit="1" customWidth="1"/>
    <col min="9" max="9" width="12.140625" customWidth="1"/>
    <col min="10" max="16384" width="9.140625" hidden="1"/>
  </cols>
  <sheetData>
    <row r="1" spans="1:9" ht="15.75" thickBot="1" x14ac:dyDescent="0.3">
      <c r="A1" s="1"/>
      <c r="B1" s="437"/>
      <c r="C1" s="437"/>
      <c r="D1" s="437"/>
      <c r="E1" s="437"/>
      <c r="F1" s="437"/>
      <c r="G1" s="437"/>
      <c r="H1" s="437"/>
      <c r="I1" s="437"/>
    </row>
    <row r="2" spans="1:9" ht="21" thickBot="1" x14ac:dyDescent="0.3">
      <c r="A2" s="1"/>
      <c r="B2" s="438" t="s">
        <v>438</v>
      </c>
      <c r="C2" s="439"/>
      <c r="D2" s="439"/>
      <c r="E2" s="439"/>
      <c r="F2" s="439"/>
      <c r="G2" s="439"/>
      <c r="H2" s="440"/>
      <c r="I2" s="1"/>
    </row>
    <row r="3" spans="1:9" ht="19.5" thickBot="1" x14ac:dyDescent="0.3">
      <c r="A3" s="1"/>
      <c r="B3" s="441" t="s">
        <v>439</v>
      </c>
      <c r="C3" s="442"/>
      <c r="D3" s="442"/>
      <c r="E3" s="442"/>
      <c r="F3" s="442"/>
      <c r="G3" s="442"/>
      <c r="H3" s="443"/>
      <c r="I3" s="1"/>
    </row>
    <row r="4" spans="1:9" x14ac:dyDescent="0.25">
      <c r="A4" s="1"/>
      <c r="B4" s="444" t="s">
        <v>440</v>
      </c>
      <c r="C4" s="446" t="s">
        <v>441</v>
      </c>
      <c r="D4" s="446" t="s">
        <v>442</v>
      </c>
      <c r="E4" s="446" t="s">
        <v>44</v>
      </c>
      <c r="F4" s="446" t="s">
        <v>443</v>
      </c>
      <c r="G4" s="446" t="s">
        <v>444</v>
      </c>
      <c r="H4" s="448" t="s">
        <v>445</v>
      </c>
      <c r="I4" s="1"/>
    </row>
    <row r="5" spans="1:9" x14ac:dyDescent="0.25">
      <c r="A5" s="1"/>
      <c r="B5" s="445"/>
      <c r="C5" s="447"/>
      <c r="D5" s="447"/>
      <c r="E5" s="447"/>
      <c r="F5" s="447"/>
      <c r="G5" s="447"/>
      <c r="H5" s="449"/>
      <c r="I5" s="1"/>
    </row>
    <row r="6" spans="1:9" x14ac:dyDescent="0.25">
      <c r="A6" s="1"/>
      <c r="B6" s="78" t="s">
        <v>446</v>
      </c>
      <c r="C6" s="85">
        <v>265926</v>
      </c>
      <c r="D6" s="300">
        <v>90.92</v>
      </c>
      <c r="E6" s="85">
        <v>1</v>
      </c>
      <c r="F6" s="89">
        <f>D6*E6</f>
        <v>90.92</v>
      </c>
      <c r="G6" s="77">
        <v>24</v>
      </c>
      <c r="H6" s="91">
        <f>F6/G6</f>
        <v>3.7883333333333336</v>
      </c>
      <c r="I6" s="1"/>
    </row>
    <row r="7" spans="1:9" x14ac:dyDescent="0.25">
      <c r="A7" s="1"/>
      <c r="B7" s="78" t="s">
        <v>447</v>
      </c>
      <c r="C7" s="85">
        <v>151064</v>
      </c>
      <c r="D7" s="88">
        <v>79.44</v>
      </c>
      <c r="E7" s="85">
        <v>2</v>
      </c>
      <c r="F7" s="89">
        <f t="shared" ref="F7:F12" si="0">D7*E7</f>
        <v>158.88</v>
      </c>
      <c r="G7" s="77">
        <v>20</v>
      </c>
      <c r="H7" s="91">
        <f t="shared" ref="H7:H12" si="1">F7/G7</f>
        <v>7.944</v>
      </c>
      <c r="I7" s="1"/>
    </row>
    <row r="8" spans="1:9" x14ac:dyDescent="0.25">
      <c r="A8" s="1"/>
      <c r="B8" s="78" t="s">
        <v>448</v>
      </c>
      <c r="C8" s="85">
        <v>150284</v>
      </c>
      <c r="D8" s="88">
        <v>72.33</v>
      </c>
      <c r="E8" s="85">
        <v>2</v>
      </c>
      <c r="F8" s="89">
        <f t="shared" si="0"/>
        <v>144.66</v>
      </c>
      <c r="G8" s="77">
        <v>20</v>
      </c>
      <c r="H8" s="91">
        <f t="shared" si="1"/>
        <v>7.2329999999999997</v>
      </c>
      <c r="I8" s="1"/>
    </row>
    <row r="9" spans="1:9" x14ac:dyDescent="0.25">
      <c r="A9" s="1"/>
      <c r="B9" s="78" t="s">
        <v>449</v>
      </c>
      <c r="C9" s="99">
        <v>444177</v>
      </c>
      <c r="D9" s="88">
        <v>62.2</v>
      </c>
      <c r="E9" s="85">
        <v>2</v>
      </c>
      <c r="F9" s="89">
        <f t="shared" si="0"/>
        <v>124.4</v>
      </c>
      <c r="G9" s="77">
        <v>20</v>
      </c>
      <c r="H9" s="91">
        <f t="shared" si="1"/>
        <v>6.2200000000000006</v>
      </c>
      <c r="I9" s="1"/>
    </row>
    <row r="10" spans="1:9" x14ac:dyDescent="0.25">
      <c r="A10" s="1"/>
      <c r="B10" s="78" t="s">
        <v>450</v>
      </c>
      <c r="C10" s="85">
        <v>113182</v>
      </c>
      <c r="D10" s="300">
        <v>148.71</v>
      </c>
      <c r="E10" s="85">
        <v>1</v>
      </c>
      <c r="F10" s="89">
        <f t="shared" si="0"/>
        <v>148.71</v>
      </c>
      <c r="G10" s="77">
        <v>12</v>
      </c>
      <c r="H10" s="91">
        <f t="shared" si="1"/>
        <v>12.3925</v>
      </c>
      <c r="I10" s="1"/>
    </row>
    <row r="11" spans="1:9" x14ac:dyDescent="0.25">
      <c r="A11" s="1"/>
      <c r="B11" s="78" t="s">
        <v>451</v>
      </c>
      <c r="C11" s="85">
        <v>446321</v>
      </c>
      <c r="D11" s="300">
        <v>7.72</v>
      </c>
      <c r="E11" s="85">
        <v>3</v>
      </c>
      <c r="F11" s="89">
        <f t="shared" si="0"/>
        <v>23.16</v>
      </c>
      <c r="G11" s="77">
        <v>6</v>
      </c>
      <c r="H11" s="91">
        <f t="shared" si="1"/>
        <v>3.86</v>
      </c>
      <c r="I11" s="1"/>
    </row>
    <row r="12" spans="1:9" x14ac:dyDescent="0.25">
      <c r="A12" s="1"/>
      <c r="B12" s="78" t="s">
        <v>452</v>
      </c>
      <c r="C12" s="85">
        <v>4057</v>
      </c>
      <c r="D12" s="88">
        <v>99.93</v>
      </c>
      <c r="E12" s="85">
        <v>1</v>
      </c>
      <c r="F12" s="89">
        <f t="shared" si="0"/>
        <v>99.93</v>
      </c>
      <c r="G12" s="77">
        <v>12</v>
      </c>
      <c r="H12" s="91">
        <f t="shared" si="1"/>
        <v>8.3275000000000006</v>
      </c>
      <c r="I12" s="1"/>
    </row>
    <row r="13" spans="1:9" x14ac:dyDescent="0.25">
      <c r="A13" s="1"/>
      <c r="B13" s="78" t="s">
        <v>453</v>
      </c>
      <c r="C13" s="85">
        <v>10111</v>
      </c>
      <c r="D13" s="300">
        <v>7.45</v>
      </c>
      <c r="E13" s="85">
        <v>1</v>
      </c>
      <c r="F13" s="89">
        <f t="shared" ref="F13:F14" si="2">D13*E13</f>
        <v>7.45</v>
      </c>
      <c r="G13" s="77">
        <v>12</v>
      </c>
      <c r="H13" s="91">
        <f t="shared" ref="H13:H14" si="3">F13/G13</f>
        <v>0.62083333333333335</v>
      </c>
      <c r="I13" s="1"/>
    </row>
    <row r="14" spans="1:9" ht="30.75" thickBot="1" x14ac:dyDescent="0.3">
      <c r="A14" s="1"/>
      <c r="B14" s="82" t="s">
        <v>454</v>
      </c>
      <c r="C14" s="87">
        <v>10030</v>
      </c>
      <c r="D14" s="301">
        <v>26.47</v>
      </c>
      <c r="E14" s="87">
        <v>1</v>
      </c>
      <c r="F14" s="90">
        <f t="shared" si="2"/>
        <v>26.47</v>
      </c>
      <c r="G14" s="83">
        <v>20</v>
      </c>
      <c r="H14" s="92">
        <f t="shared" si="3"/>
        <v>1.3234999999999999</v>
      </c>
      <c r="I14" s="10"/>
    </row>
    <row r="15" spans="1:9" ht="15.75" thickBot="1" x14ac:dyDescent="0.3">
      <c r="A15" s="1"/>
      <c r="B15" s="430" t="s">
        <v>455</v>
      </c>
      <c r="C15" s="431"/>
      <c r="D15" s="431"/>
      <c r="E15" s="431"/>
      <c r="F15" s="431"/>
      <c r="G15" s="431"/>
      <c r="H15" s="95">
        <f>SUM(H6:H14)</f>
        <v>51.709666666666664</v>
      </c>
      <c r="I15" s="10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0"/>
    </row>
    <row r="17" spans="1:9" ht="15.75" thickBot="1" x14ac:dyDescent="0.3">
      <c r="A17" s="1"/>
      <c r="B17" s="1"/>
      <c r="C17" s="1"/>
      <c r="D17" s="1"/>
      <c r="E17" s="1"/>
      <c r="F17" s="1"/>
      <c r="G17" s="1"/>
      <c r="H17" s="1"/>
      <c r="I17" s="10"/>
    </row>
    <row r="18" spans="1:9" ht="19.5" thickBot="1" x14ac:dyDescent="0.3">
      <c r="A18" s="1"/>
      <c r="B18" s="432" t="s">
        <v>456</v>
      </c>
      <c r="C18" s="433"/>
      <c r="D18" s="433"/>
      <c r="E18" s="433"/>
      <c r="F18" s="433"/>
      <c r="G18" s="433"/>
      <c r="H18" s="434"/>
      <c r="I18" s="10"/>
    </row>
    <row r="19" spans="1:9" x14ac:dyDescent="0.25">
      <c r="A19" s="1"/>
      <c r="B19" s="435" t="s">
        <v>440</v>
      </c>
      <c r="C19" s="446" t="s">
        <v>441</v>
      </c>
      <c r="D19" s="450" t="s">
        <v>442</v>
      </c>
      <c r="E19" s="450" t="s">
        <v>44</v>
      </c>
      <c r="F19" s="450" t="s">
        <v>443</v>
      </c>
      <c r="G19" s="450" t="s">
        <v>444</v>
      </c>
      <c r="H19" s="469" t="s">
        <v>457</v>
      </c>
      <c r="I19" s="10"/>
    </row>
    <row r="20" spans="1:9" x14ac:dyDescent="0.25">
      <c r="A20" s="1"/>
      <c r="B20" s="436"/>
      <c r="C20" s="447"/>
      <c r="D20" s="451"/>
      <c r="E20" s="451"/>
      <c r="F20" s="451"/>
      <c r="G20" s="451"/>
      <c r="H20" s="471"/>
      <c r="I20" s="10"/>
    </row>
    <row r="21" spans="1:9" x14ac:dyDescent="0.25">
      <c r="A21" s="1"/>
      <c r="B21" s="86"/>
      <c r="C21" s="93"/>
      <c r="D21" s="100"/>
      <c r="E21" s="94">
        <v>1</v>
      </c>
      <c r="F21" s="102">
        <f>D21*E21</f>
        <v>0</v>
      </c>
      <c r="G21" s="94">
        <v>120</v>
      </c>
      <c r="H21" s="103">
        <f>F21/G21</f>
        <v>0</v>
      </c>
      <c r="I21" s="10"/>
    </row>
    <row r="22" spans="1:9" x14ac:dyDescent="0.25">
      <c r="A22" s="1"/>
      <c r="B22" s="113"/>
      <c r="C22" s="114"/>
      <c r="D22" s="115"/>
      <c r="E22" s="94">
        <v>1</v>
      </c>
      <c r="F22" s="102">
        <f t="shared" ref="F22:F31" si="4">D22*E22</f>
        <v>0</v>
      </c>
      <c r="G22" s="94">
        <v>360</v>
      </c>
      <c r="H22" s="103">
        <f t="shared" ref="H22:H29" si="5">F22/G22</f>
        <v>0</v>
      </c>
      <c r="I22" s="10"/>
    </row>
    <row r="23" spans="1:9" x14ac:dyDescent="0.25">
      <c r="A23" s="1"/>
      <c r="B23" s="113"/>
      <c r="C23" s="114"/>
      <c r="D23" s="115"/>
      <c r="E23" s="94">
        <v>1</v>
      </c>
      <c r="F23" s="102">
        <f t="shared" si="4"/>
        <v>0</v>
      </c>
      <c r="G23" s="94">
        <v>20</v>
      </c>
      <c r="H23" s="103">
        <f t="shared" si="5"/>
        <v>0</v>
      </c>
      <c r="I23" s="10"/>
    </row>
    <row r="24" spans="1:9" x14ac:dyDescent="0.25">
      <c r="A24" s="1"/>
      <c r="B24" s="113"/>
      <c r="C24" s="114"/>
      <c r="D24" s="115"/>
      <c r="E24" s="94">
        <v>2</v>
      </c>
      <c r="F24" s="102">
        <f t="shared" si="4"/>
        <v>0</v>
      </c>
      <c r="G24" s="94">
        <v>20</v>
      </c>
      <c r="H24" s="103">
        <f>F24/G24</f>
        <v>0</v>
      </c>
      <c r="I24" s="10"/>
    </row>
    <row r="25" spans="1:9" x14ac:dyDescent="0.25">
      <c r="A25" s="1"/>
      <c r="B25" s="86"/>
      <c r="C25" s="93"/>
      <c r="D25" s="100"/>
      <c r="E25" s="94">
        <v>1</v>
      </c>
      <c r="F25" s="102">
        <f t="shared" si="4"/>
        <v>0</v>
      </c>
      <c r="G25" s="94">
        <v>360</v>
      </c>
      <c r="H25" s="103">
        <f>F25/G25</f>
        <v>0</v>
      </c>
      <c r="I25" s="10"/>
    </row>
    <row r="26" spans="1:9" x14ac:dyDescent="0.25">
      <c r="A26" s="1"/>
      <c r="B26" s="113"/>
      <c r="C26" s="114"/>
      <c r="D26" s="115"/>
      <c r="E26" s="94">
        <v>1</v>
      </c>
      <c r="F26" s="102">
        <f t="shared" si="4"/>
        <v>0</v>
      </c>
      <c r="G26" s="94">
        <v>60</v>
      </c>
      <c r="H26" s="103">
        <f t="shared" si="5"/>
        <v>0</v>
      </c>
      <c r="I26" s="10"/>
    </row>
    <row r="27" spans="1:9" x14ac:dyDescent="0.25">
      <c r="A27" s="1"/>
      <c r="B27" s="84"/>
      <c r="C27" s="81"/>
      <c r="D27" s="101"/>
      <c r="E27" s="94">
        <v>1</v>
      </c>
      <c r="F27" s="102">
        <f t="shared" si="4"/>
        <v>0</v>
      </c>
      <c r="G27" s="94">
        <v>20</v>
      </c>
      <c r="H27" s="103">
        <f>F27/G27</f>
        <v>0</v>
      </c>
      <c r="I27" s="10"/>
    </row>
    <row r="28" spans="1:9" x14ac:dyDescent="0.25">
      <c r="A28" s="1"/>
      <c r="B28" s="84"/>
      <c r="C28" s="81"/>
      <c r="D28" s="101"/>
      <c r="E28" s="94">
        <v>1</v>
      </c>
      <c r="F28" s="102">
        <f t="shared" si="4"/>
        <v>0</v>
      </c>
      <c r="G28" s="94">
        <v>20</v>
      </c>
      <c r="H28" s="103">
        <f t="shared" si="5"/>
        <v>0</v>
      </c>
      <c r="I28" s="10"/>
    </row>
    <row r="29" spans="1:9" x14ac:dyDescent="0.25">
      <c r="A29" s="1"/>
      <c r="B29" s="84"/>
      <c r="C29" s="81"/>
      <c r="D29" s="101"/>
      <c r="E29" s="94">
        <v>1</v>
      </c>
      <c r="F29" s="102">
        <f t="shared" si="4"/>
        <v>0</v>
      </c>
      <c r="G29" s="94">
        <v>20</v>
      </c>
      <c r="H29" s="103">
        <f t="shared" si="5"/>
        <v>0</v>
      </c>
      <c r="I29" s="10"/>
    </row>
    <row r="30" spans="1:9" x14ac:dyDescent="0.25">
      <c r="A30" s="1"/>
      <c r="B30" s="84"/>
      <c r="C30" s="81"/>
      <c r="D30" s="101"/>
      <c r="E30" s="94">
        <v>1</v>
      </c>
      <c r="F30" s="102">
        <f>D30*E30</f>
        <v>0</v>
      </c>
      <c r="G30" s="94">
        <v>60</v>
      </c>
      <c r="H30" s="103">
        <f>F30/G30</f>
        <v>0</v>
      </c>
      <c r="I30" s="10"/>
    </row>
    <row r="31" spans="1:9" x14ac:dyDescent="0.25">
      <c r="A31" s="1"/>
      <c r="B31" s="107" t="s">
        <v>458</v>
      </c>
      <c r="C31" s="108">
        <v>40436</v>
      </c>
      <c r="D31" s="109">
        <v>974.8</v>
      </c>
      <c r="E31" s="110">
        <v>0</v>
      </c>
      <c r="F31" s="111">
        <f t="shared" si="4"/>
        <v>0</v>
      </c>
      <c r="G31" s="110">
        <v>60</v>
      </c>
      <c r="H31" s="112">
        <f>F31/G31</f>
        <v>0</v>
      </c>
      <c r="I31" s="104"/>
    </row>
    <row r="32" spans="1:9" x14ac:dyDescent="0.25">
      <c r="A32" s="1"/>
      <c r="B32" s="302" t="s">
        <v>459</v>
      </c>
      <c r="C32" s="303">
        <v>247326</v>
      </c>
      <c r="D32" s="304">
        <v>1214.19</v>
      </c>
      <c r="E32" s="200">
        <v>1</v>
      </c>
      <c r="F32" s="305">
        <f>D32*E32</f>
        <v>1214.19</v>
      </c>
      <c r="G32" s="200">
        <v>120</v>
      </c>
      <c r="H32" s="306">
        <f>F32/G32</f>
        <v>10.11825</v>
      </c>
      <c r="I32" s="104"/>
    </row>
    <row r="33" spans="1:9" ht="15.75" thickBot="1" x14ac:dyDescent="0.3">
      <c r="A33" s="1"/>
      <c r="B33" s="459"/>
      <c r="C33" s="460"/>
      <c r="D33" s="460"/>
      <c r="E33" s="460"/>
      <c r="F33" s="460"/>
      <c r="G33" s="460"/>
      <c r="H33" s="472"/>
      <c r="I33" s="10"/>
    </row>
    <row r="34" spans="1:9" ht="36.75" customHeight="1" thickBot="1" x14ac:dyDescent="0.3">
      <c r="A34" s="1"/>
      <c r="B34" s="455" t="s">
        <v>460</v>
      </c>
      <c r="C34" s="456"/>
      <c r="D34" s="456"/>
      <c r="E34" s="456"/>
      <c r="F34" s="8" t="s">
        <v>461</v>
      </c>
      <c r="G34" s="8" t="s">
        <v>462</v>
      </c>
      <c r="H34" s="7" t="s">
        <v>463</v>
      </c>
      <c r="I34" s="10"/>
    </row>
    <row r="35" spans="1:9" ht="15.75" customHeight="1" thickBot="1" x14ac:dyDescent="0.3">
      <c r="A35" s="1"/>
      <c r="B35" s="452"/>
      <c r="C35" s="453"/>
      <c r="D35" s="453"/>
      <c r="E35" s="453"/>
      <c r="F35" s="8" t="s">
        <v>464</v>
      </c>
      <c r="G35" s="8">
        <v>2</v>
      </c>
      <c r="H35" s="145">
        <f>SUM(H21:H32)/G35</f>
        <v>5.0591249999999999</v>
      </c>
      <c r="I35" s="10"/>
    </row>
    <row r="36" spans="1:9" x14ac:dyDescent="0.25">
      <c r="A36" s="1"/>
      <c r="B36" s="1"/>
      <c r="C36" s="1"/>
      <c r="D36" s="1"/>
      <c r="E36" s="1"/>
      <c r="F36" s="1"/>
      <c r="G36" s="12"/>
      <c r="H36" s="9"/>
      <c r="I36" s="1"/>
    </row>
    <row r="37" spans="1:9" ht="15.75" thickBot="1" x14ac:dyDescent="0.3">
      <c r="A37" s="1"/>
      <c r="B37" s="1"/>
      <c r="C37" s="1"/>
      <c r="D37" s="1"/>
      <c r="E37" s="1"/>
      <c r="F37" s="1"/>
      <c r="G37" s="9"/>
      <c r="H37" s="6"/>
      <c r="I37" s="1"/>
    </row>
    <row r="38" spans="1:9" ht="19.5" thickBot="1" x14ac:dyDescent="0.3">
      <c r="A38" s="1"/>
      <c r="B38" s="432" t="s">
        <v>465</v>
      </c>
      <c r="C38" s="433"/>
      <c r="D38" s="433"/>
      <c r="E38" s="433"/>
      <c r="F38" s="433"/>
      <c r="G38" s="433"/>
      <c r="H38" s="434"/>
      <c r="I38" s="1"/>
    </row>
    <row r="39" spans="1:9" x14ac:dyDescent="0.25">
      <c r="A39" s="1"/>
      <c r="B39" s="462" t="s">
        <v>466</v>
      </c>
      <c r="C39" s="463"/>
      <c r="D39" s="463"/>
      <c r="E39" s="464"/>
      <c r="F39" s="450" t="s">
        <v>467</v>
      </c>
      <c r="G39" s="450" t="s">
        <v>468</v>
      </c>
      <c r="H39" s="469" t="s">
        <v>469</v>
      </c>
      <c r="I39" s="10"/>
    </row>
    <row r="40" spans="1:9" x14ac:dyDescent="0.25">
      <c r="A40" s="1"/>
      <c r="B40" s="465"/>
      <c r="C40" s="466"/>
      <c r="D40" s="466"/>
      <c r="E40" s="467"/>
      <c r="F40" s="468"/>
      <c r="G40" s="468"/>
      <c r="H40" s="470"/>
      <c r="I40" s="10"/>
    </row>
    <row r="41" spans="1:9" ht="15.75" thickBot="1" x14ac:dyDescent="0.3">
      <c r="A41" s="1"/>
      <c r="B41" s="459" t="s">
        <v>470</v>
      </c>
      <c r="C41" s="460"/>
      <c r="D41" s="460"/>
      <c r="E41" s="461"/>
      <c r="F41" s="116">
        <v>1500</v>
      </c>
      <c r="G41" s="14">
        <v>12</v>
      </c>
      <c r="H41" s="117">
        <f>F41/G41</f>
        <v>125</v>
      </c>
      <c r="I41" s="10"/>
    </row>
    <row r="42" spans="1:9" ht="15.75" thickBot="1" x14ac:dyDescent="0.3">
      <c r="A42" s="1"/>
      <c r="B42" s="452"/>
      <c r="C42" s="453"/>
      <c r="D42" s="453"/>
      <c r="E42" s="453"/>
      <c r="F42" s="453"/>
      <c r="G42" s="453"/>
      <c r="H42" s="454"/>
      <c r="I42" s="10"/>
    </row>
    <row r="43" spans="1:9" ht="30.75" thickBot="1" x14ac:dyDescent="0.3">
      <c r="A43" s="1"/>
      <c r="B43" s="455" t="s">
        <v>460</v>
      </c>
      <c r="C43" s="456"/>
      <c r="D43" s="456"/>
      <c r="E43" s="457"/>
      <c r="F43" s="15" t="s">
        <v>471</v>
      </c>
      <c r="G43" s="16" t="s">
        <v>472</v>
      </c>
      <c r="H43" s="17" t="s">
        <v>473</v>
      </c>
      <c r="I43" s="1"/>
    </row>
    <row r="44" spans="1:9" ht="15.75" thickBot="1" x14ac:dyDescent="0.3">
      <c r="A44" s="1"/>
      <c r="B44" s="430"/>
      <c r="C44" s="431"/>
      <c r="D44" s="431"/>
      <c r="E44" s="458"/>
      <c r="F44" s="8" t="s">
        <v>474</v>
      </c>
      <c r="G44" s="146">
        <v>2</v>
      </c>
      <c r="H44" s="144">
        <f>H41/G44</f>
        <v>62.5</v>
      </c>
      <c r="I44" s="1"/>
    </row>
    <row r="45" spans="1:9" x14ac:dyDescent="0.25">
      <c r="A45" s="1"/>
      <c r="B45" s="1"/>
      <c r="C45" s="1"/>
      <c r="D45" s="1"/>
      <c r="E45" s="1"/>
      <c r="F45" s="1"/>
      <c r="G45" s="12"/>
      <c r="H45" s="9"/>
      <c r="I45" s="1"/>
    </row>
    <row r="46" spans="1:9" x14ac:dyDescent="0.25">
      <c r="A46" s="1"/>
      <c r="B46" s="1"/>
      <c r="C46" s="1"/>
      <c r="D46" s="1"/>
      <c r="E46" s="1"/>
      <c r="F46" s="1"/>
      <c r="G46" s="9"/>
      <c r="H46" s="6"/>
      <c r="I46" s="1"/>
    </row>
    <row r="47" spans="1:9" x14ac:dyDescent="0.25">
      <c r="A47" s="1"/>
      <c r="B47" s="1"/>
      <c r="C47" s="1"/>
      <c r="D47" s="1"/>
      <c r="E47" s="1"/>
      <c r="F47" s="1"/>
      <c r="G47" s="9"/>
      <c r="H47" s="6"/>
      <c r="I47" s="1"/>
    </row>
    <row r="48" spans="1:9" x14ac:dyDescent="0.25">
      <c r="A48" s="1"/>
      <c r="B48" s="1"/>
      <c r="C48" s="1"/>
      <c r="D48" s="1"/>
      <c r="E48" s="1"/>
      <c r="F48" s="1"/>
      <c r="G48" s="9"/>
      <c r="H48" s="6"/>
      <c r="I48" s="1"/>
    </row>
    <row r="49" spans="1:9" x14ac:dyDescent="0.25">
      <c r="A49" s="1"/>
      <c r="B49" s="1"/>
      <c r="C49" s="1"/>
      <c r="D49" s="1"/>
      <c r="E49" s="1"/>
      <c r="F49" s="1"/>
      <c r="G49" s="9"/>
      <c r="H49" s="6"/>
      <c r="I49" s="1"/>
    </row>
    <row r="50" spans="1:9" x14ac:dyDescent="0.25">
      <c r="A50" s="1"/>
      <c r="B50" s="1"/>
      <c r="C50" s="1"/>
      <c r="D50" s="1"/>
      <c r="E50" s="1"/>
      <c r="F50" s="1"/>
      <c r="G50" s="9"/>
      <c r="H50" s="6"/>
      <c r="I50" s="1"/>
    </row>
    <row r="51" spans="1:9" x14ac:dyDescent="0.25"/>
  </sheetData>
  <mergeCells count="29">
    <mergeCell ref="B38:H38"/>
    <mergeCell ref="F19:F20"/>
    <mergeCell ref="G19:G20"/>
    <mergeCell ref="H19:H20"/>
    <mergeCell ref="B33:H33"/>
    <mergeCell ref="B34:E35"/>
    <mergeCell ref="B42:H42"/>
    <mergeCell ref="B43:E44"/>
    <mergeCell ref="B41:E41"/>
    <mergeCell ref="B39:E40"/>
    <mergeCell ref="F39:F40"/>
    <mergeCell ref="G39:G40"/>
    <mergeCell ref="H39:H40"/>
    <mergeCell ref="B15:G15"/>
    <mergeCell ref="B18:H18"/>
    <mergeCell ref="B19:B20"/>
    <mergeCell ref="B1:I1"/>
    <mergeCell ref="B2:H2"/>
    <mergeCell ref="B3:H3"/>
    <mergeCell ref="B4:B5"/>
    <mergeCell ref="D4:D5"/>
    <mergeCell ref="E4:E5"/>
    <mergeCell ref="F4:F5"/>
    <mergeCell ref="G4:G5"/>
    <mergeCell ref="H4:H5"/>
    <mergeCell ref="C4:C5"/>
    <mergeCell ref="C19:C20"/>
    <mergeCell ref="D19:D20"/>
    <mergeCell ref="E19:E2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47F5-85AD-4045-A850-60CD42D7A814}">
  <sheetPr>
    <tabColor theme="5" tint="0.59999389629810485"/>
  </sheetPr>
  <dimension ref="A1:M24"/>
  <sheetViews>
    <sheetView tabSelected="1" workbookViewId="0">
      <selection activeCell="A14" sqref="A14:A15"/>
    </sheetView>
  </sheetViews>
  <sheetFormatPr defaultColWidth="0" defaultRowHeight="15" zeroHeight="1" x14ac:dyDescent="0.25"/>
  <cols>
    <col min="1" max="1" width="53.28515625" customWidth="1"/>
    <col min="2" max="2" width="16.28515625" customWidth="1"/>
    <col min="3" max="3" width="23.42578125" customWidth="1"/>
    <col min="4" max="4" width="19.7109375" customWidth="1"/>
    <col min="5" max="6" width="9.140625" customWidth="1"/>
    <col min="7" max="13" width="0" hidden="1" customWidth="1"/>
    <col min="14" max="16384" width="9.140625" hidden="1"/>
  </cols>
  <sheetData>
    <row r="1" spans="1:6" x14ac:dyDescent="0.25">
      <c r="A1" s="399" t="s">
        <v>475</v>
      </c>
      <c r="B1" s="399"/>
      <c r="C1" s="399"/>
      <c r="D1" s="399"/>
      <c r="E1" s="299"/>
      <c r="F1" s="299"/>
    </row>
    <row r="2" spans="1:6" x14ac:dyDescent="0.25">
      <c r="A2" s="399" t="s">
        <v>476</v>
      </c>
      <c r="B2" s="399"/>
      <c r="C2" s="399"/>
      <c r="D2" s="399"/>
      <c r="E2" s="299"/>
      <c r="F2" s="299"/>
    </row>
    <row r="3" spans="1:6" ht="30" x14ac:dyDescent="0.25">
      <c r="A3" s="489" t="s">
        <v>477</v>
      </c>
      <c r="B3" s="490"/>
      <c r="C3" s="297" t="s">
        <v>478</v>
      </c>
      <c r="D3" s="297" t="s">
        <v>479</v>
      </c>
      <c r="E3" s="299"/>
      <c r="F3" s="299"/>
    </row>
    <row r="4" spans="1:6" x14ac:dyDescent="0.25">
      <c r="A4" s="482" t="s">
        <v>480</v>
      </c>
      <c r="B4" s="483"/>
      <c r="C4" s="278">
        <f>'Item 1 - Oficial de Manut'!D34*(1+'Item 1 - Oficial de Manut'!C53)</f>
        <v>2632.0320000000006</v>
      </c>
      <c r="D4" s="278">
        <f>'Item 2 - Eletrotécnico'!D34*(1+'Item 2 - Eletrotécnico'!C53)</f>
        <v>3421.6416000000008</v>
      </c>
      <c r="E4" s="299"/>
      <c r="F4" s="299"/>
    </row>
    <row r="5" spans="1:6" x14ac:dyDescent="0.25">
      <c r="A5" s="482" t="s">
        <v>481</v>
      </c>
      <c r="B5" s="483"/>
      <c r="C5" s="291">
        <v>220</v>
      </c>
      <c r="D5" s="291">
        <v>220</v>
      </c>
      <c r="E5" s="299"/>
      <c r="F5" s="299"/>
    </row>
    <row r="6" spans="1:6" x14ac:dyDescent="0.25">
      <c r="A6" s="476" t="s">
        <v>482</v>
      </c>
      <c r="B6" s="476"/>
      <c r="C6" s="292">
        <f>C4/C5</f>
        <v>11.96378181818182</v>
      </c>
      <c r="D6" s="292">
        <f>D4/D5</f>
        <v>15.552916363636367</v>
      </c>
      <c r="E6" s="299"/>
      <c r="F6" s="299"/>
    </row>
    <row r="7" spans="1:6" x14ac:dyDescent="0.25">
      <c r="A7" s="477"/>
      <c r="B7" s="478"/>
      <c r="C7" s="478"/>
      <c r="D7" s="479"/>
      <c r="E7" s="299"/>
      <c r="F7" s="299"/>
    </row>
    <row r="8" spans="1:6" ht="25.5" x14ac:dyDescent="0.25">
      <c r="A8" s="480" t="s">
        <v>483</v>
      </c>
      <c r="B8" s="298" t="s">
        <v>484</v>
      </c>
      <c r="C8" s="293">
        <v>1</v>
      </c>
      <c r="D8" s="293">
        <v>1</v>
      </c>
      <c r="E8" s="299"/>
      <c r="F8" s="299"/>
    </row>
    <row r="9" spans="1:6" x14ac:dyDescent="0.25">
      <c r="A9" s="481"/>
      <c r="B9" s="298" t="s">
        <v>485</v>
      </c>
      <c r="C9" s="278">
        <f>C6*C8*1.5</f>
        <v>17.945672727272729</v>
      </c>
      <c r="D9" s="278">
        <f>D6*D8*1.5</f>
        <v>23.329374545454549</v>
      </c>
      <c r="E9" s="299"/>
      <c r="F9" s="299"/>
    </row>
    <row r="10" spans="1:6" ht="25.5" x14ac:dyDescent="0.25">
      <c r="A10" s="480" t="s">
        <v>486</v>
      </c>
      <c r="B10" s="298" t="s">
        <v>484</v>
      </c>
      <c r="C10" s="293">
        <v>1</v>
      </c>
      <c r="D10" s="293">
        <v>1</v>
      </c>
      <c r="E10" s="299"/>
      <c r="F10" s="299"/>
    </row>
    <row r="11" spans="1:6" x14ac:dyDescent="0.25">
      <c r="A11" s="481"/>
      <c r="B11" s="298" t="s">
        <v>485</v>
      </c>
      <c r="C11" s="278">
        <f>C6*C10*1.5*1.32</f>
        <v>23.688288000000004</v>
      </c>
      <c r="D11" s="278">
        <f>D6*D10*1.5*1.32</f>
        <v>30.794774400000005</v>
      </c>
      <c r="E11" s="299"/>
      <c r="F11" s="299"/>
    </row>
    <row r="12" spans="1:6" ht="25.5" x14ac:dyDescent="0.25">
      <c r="A12" s="480" t="s">
        <v>487</v>
      </c>
      <c r="B12" s="298" t="s">
        <v>484</v>
      </c>
      <c r="C12" s="293">
        <v>1</v>
      </c>
      <c r="D12" s="293">
        <v>1</v>
      </c>
      <c r="E12" s="299"/>
      <c r="F12" s="299"/>
    </row>
    <row r="13" spans="1:6" x14ac:dyDescent="0.25">
      <c r="A13" s="481"/>
      <c r="B13" s="298" t="s">
        <v>485</v>
      </c>
      <c r="C13" s="278">
        <f>(C6*C12)*2</f>
        <v>23.92756363636364</v>
      </c>
      <c r="D13" s="278">
        <f>(D6*D12)*2</f>
        <v>31.105832727272734</v>
      </c>
      <c r="E13" s="299"/>
      <c r="F13" s="299"/>
    </row>
    <row r="14" spans="1:6" ht="25.5" x14ac:dyDescent="0.25">
      <c r="A14" s="480" t="s">
        <v>488</v>
      </c>
      <c r="B14" s="298" t="s">
        <v>484</v>
      </c>
      <c r="C14" s="293">
        <v>1</v>
      </c>
      <c r="D14" s="293">
        <v>1</v>
      </c>
      <c r="E14" s="299"/>
      <c r="F14" s="299"/>
    </row>
    <row r="15" spans="1:6" x14ac:dyDescent="0.25">
      <c r="A15" s="481"/>
      <c r="B15" s="298" t="s">
        <v>485</v>
      </c>
      <c r="C15" s="278">
        <f>(C6*C14)*2*1.32</f>
        <v>31.584384000000007</v>
      </c>
      <c r="D15" s="278">
        <f>(D6*D14)*2*1.32</f>
        <v>41.059699200000011</v>
      </c>
      <c r="E15" s="299"/>
      <c r="F15" s="299"/>
    </row>
    <row r="16" spans="1:6" x14ac:dyDescent="0.25">
      <c r="A16" s="482" t="s">
        <v>489</v>
      </c>
      <c r="B16" s="483"/>
      <c r="C16" s="294">
        <f>C9+C11+C13+C15</f>
        <v>97.14590836363638</v>
      </c>
      <c r="D16" s="294">
        <f>D9+D11+D13+D15</f>
        <v>126.2896808727273</v>
      </c>
      <c r="E16" s="299"/>
      <c r="F16" s="299"/>
    </row>
    <row r="17" spans="1:6" ht="15" customHeight="1" x14ac:dyDescent="0.25">
      <c r="A17" s="473" t="s">
        <v>490</v>
      </c>
      <c r="B17" s="475"/>
      <c r="C17" s="486">
        <f>SUM(C16:D16)</f>
        <v>223.43558923636368</v>
      </c>
      <c r="D17" s="486"/>
      <c r="E17" s="299"/>
      <c r="F17" s="299"/>
    </row>
    <row r="18" spans="1:6" x14ac:dyDescent="0.25">
      <c r="A18" s="473" t="s">
        <v>168</v>
      </c>
      <c r="B18" s="474"/>
      <c r="C18" s="487">
        <f>BDI!D11</f>
        <v>0.28428238341968903</v>
      </c>
      <c r="D18" s="488"/>
      <c r="E18" s="299"/>
      <c r="F18" s="299"/>
    </row>
    <row r="19" spans="1:6" ht="15" customHeight="1" x14ac:dyDescent="0.25">
      <c r="A19" s="473" t="s">
        <v>491</v>
      </c>
      <c r="B19" s="474"/>
      <c r="C19" s="484">
        <f>C17*(1+C18)</f>
        <v>286.95439108525977</v>
      </c>
      <c r="D19" s="485"/>
      <c r="E19" s="299"/>
      <c r="F19" s="299"/>
    </row>
    <row r="20" spans="1:6" ht="15" customHeight="1" x14ac:dyDescent="0.25">
      <c r="A20" s="473" t="s">
        <v>492</v>
      </c>
      <c r="B20" s="474"/>
      <c r="C20" s="484">
        <f>C19*12</f>
        <v>3443.4526930231173</v>
      </c>
      <c r="D20" s="485"/>
      <c r="E20" s="299"/>
      <c r="F20" s="299"/>
    </row>
    <row r="21" spans="1:6" x14ac:dyDescent="0.25">
      <c r="A21" s="299"/>
      <c r="B21" s="299"/>
      <c r="C21" s="296"/>
      <c r="D21" s="296"/>
      <c r="E21" s="299"/>
      <c r="F21" s="299"/>
    </row>
    <row r="22" spans="1:6" x14ac:dyDescent="0.25">
      <c r="A22" s="299"/>
      <c r="B22" s="299"/>
      <c r="C22" s="296"/>
      <c r="D22" s="296"/>
      <c r="E22" s="299"/>
      <c r="F22" s="299"/>
    </row>
    <row r="23" spans="1:6" x14ac:dyDescent="0.25">
      <c r="A23" s="299"/>
      <c r="B23" s="299"/>
      <c r="C23" s="299"/>
      <c r="D23" s="299"/>
      <c r="E23" s="299"/>
      <c r="F23" s="299"/>
    </row>
    <row r="24" spans="1:6" hidden="1" x14ac:dyDescent="0.25">
      <c r="A24" s="299"/>
      <c r="B24" s="299"/>
      <c r="C24" s="299"/>
      <c r="D24" s="299"/>
      <c r="E24" s="299"/>
      <c r="F24" s="299"/>
    </row>
  </sheetData>
  <mergeCells count="20">
    <mergeCell ref="A1:D1"/>
    <mergeCell ref="A2:D2"/>
    <mergeCell ref="C17:D17"/>
    <mergeCell ref="C18:D18"/>
    <mergeCell ref="C19:D19"/>
    <mergeCell ref="A8:A9"/>
    <mergeCell ref="A3:B3"/>
    <mergeCell ref="A4:B4"/>
    <mergeCell ref="A5:B5"/>
    <mergeCell ref="A18:B18"/>
    <mergeCell ref="A19:B19"/>
    <mergeCell ref="A20:B20"/>
    <mergeCell ref="A17:B17"/>
    <mergeCell ref="A6:B6"/>
    <mergeCell ref="A7:D7"/>
    <mergeCell ref="A12:A13"/>
    <mergeCell ref="A14:A15"/>
    <mergeCell ref="A16:B16"/>
    <mergeCell ref="A10:A11"/>
    <mergeCell ref="C20:D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3951-0DC0-44EF-815A-C93AF5C5F074}">
  <sheetPr>
    <tabColor theme="3" tint="0.59999389629810485"/>
  </sheetPr>
  <dimension ref="A1:U67"/>
  <sheetViews>
    <sheetView workbookViewId="0">
      <selection activeCell="C21" sqref="C21"/>
    </sheetView>
  </sheetViews>
  <sheetFormatPr defaultRowHeight="15" x14ac:dyDescent="0.25"/>
  <cols>
    <col min="1" max="1" width="9.140625" style="222"/>
    <col min="2" max="2" width="34.5703125" customWidth="1"/>
    <col min="3" max="3" width="31.42578125" customWidth="1"/>
    <col min="4" max="4" width="10.140625" bestFit="1" customWidth="1"/>
    <col min="5" max="21" width="9.140625" style="222"/>
  </cols>
  <sheetData>
    <row r="1" spans="2:4" s="222" customFormat="1" ht="15.75" thickBot="1" x14ac:dyDescent="0.3"/>
    <row r="2" spans="2:4" ht="15.75" thickBot="1" x14ac:dyDescent="0.3">
      <c r="B2" s="493" t="s">
        <v>493</v>
      </c>
      <c r="C2" s="494"/>
      <c r="D2" s="495"/>
    </row>
    <row r="3" spans="2:4" ht="15.75" thickBot="1" x14ac:dyDescent="0.3">
      <c r="B3" s="493" t="s">
        <v>494</v>
      </c>
      <c r="C3" s="494"/>
      <c r="D3" s="495"/>
    </row>
    <row r="4" spans="2:4" ht="15.75" thickBot="1" x14ac:dyDescent="0.3">
      <c r="B4" s="496"/>
      <c r="C4" s="497"/>
      <c r="D4" s="498"/>
    </row>
    <row r="5" spans="2:4" ht="15.75" thickBot="1" x14ac:dyDescent="0.3">
      <c r="B5" s="223" t="s">
        <v>495</v>
      </c>
      <c r="C5" s="223" t="s">
        <v>496</v>
      </c>
      <c r="D5" s="224" t="s">
        <v>497</v>
      </c>
    </row>
    <row r="6" spans="2:4" x14ac:dyDescent="0.25">
      <c r="B6" s="225">
        <v>1</v>
      </c>
      <c r="C6" s="226" t="s">
        <v>498</v>
      </c>
      <c r="D6" s="227">
        <v>0.04</v>
      </c>
    </row>
    <row r="7" spans="2:4" x14ac:dyDescent="0.25">
      <c r="B7" s="228">
        <v>2</v>
      </c>
      <c r="C7" s="229" t="s">
        <v>499</v>
      </c>
      <c r="D7" s="230">
        <f>D16</f>
        <v>1.7000000000000001E-2</v>
      </c>
    </row>
    <row r="8" spans="2:4" x14ac:dyDescent="0.25">
      <c r="B8" s="228">
        <v>3</v>
      </c>
      <c r="C8" s="229" t="s">
        <v>500</v>
      </c>
      <c r="D8" s="231">
        <v>5.0000000000000001E-3</v>
      </c>
    </row>
    <row r="9" spans="2:4" x14ac:dyDescent="0.25">
      <c r="B9" s="228">
        <v>4</v>
      </c>
      <c r="C9" s="229" t="s">
        <v>501</v>
      </c>
      <c r="D9" s="230">
        <f>D23</f>
        <v>0.13150000000000001</v>
      </c>
    </row>
    <row r="10" spans="2:4" ht="15.75" thickBot="1" x14ac:dyDescent="0.3">
      <c r="B10" s="232">
        <v>5</v>
      </c>
      <c r="C10" s="233" t="s">
        <v>502</v>
      </c>
      <c r="D10" s="234">
        <v>0.05</v>
      </c>
    </row>
    <row r="11" spans="2:4" ht="15.75" thickBot="1" x14ac:dyDescent="0.3">
      <c r="B11" s="499" t="s">
        <v>503</v>
      </c>
      <c r="C11" s="500"/>
      <c r="D11" s="235">
        <f>((1+(D6+D15+D14))*(1+D8)*(1+D10)/(1-D23))-1</f>
        <v>0.28428238341968903</v>
      </c>
    </row>
    <row r="12" spans="2:4" ht="15.75" thickBot="1" x14ac:dyDescent="0.3">
      <c r="B12" s="501" t="s">
        <v>504</v>
      </c>
      <c r="C12" s="502"/>
      <c r="D12" s="503"/>
    </row>
    <row r="13" spans="2:4" ht="15.75" thickBot="1" x14ac:dyDescent="0.3">
      <c r="B13" s="223">
        <v>2</v>
      </c>
      <c r="C13" s="223" t="s">
        <v>505</v>
      </c>
      <c r="D13" s="224" t="s">
        <v>497</v>
      </c>
    </row>
    <row r="14" spans="2:4" x14ac:dyDescent="0.25">
      <c r="B14" s="236" t="s">
        <v>98</v>
      </c>
      <c r="C14" s="226" t="s">
        <v>506</v>
      </c>
      <c r="D14" s="237">
        <v>8.0000000000000002E-3</v>
      </c>
    </row>
    <row r="15" spans="2:4" ht="15.75" thickBot="1" x14ac:dyDescent="0.3">
      <c r="B15" s="238" t="s">
        <v>99</v>
      </c>
      <c r="C15" s="233" t="s">
        <v>507</v>
      </c>
      <c r="D15" s="239">
        <v>8.9999999999999993E-3</v>
      </c>
    </row>
    <row r="16" spans="2:4" ht="15.75" thickBot="1" x14ac:dyDescent="0.3">
      <c r="B16" s="491" t="s">
        <v>460</v>
      </c>
      <c r="C16" s="492"/>
      <c r="D16" s="240">
        <f>SUM(D14:D15)</f>
        <v>1.7000000000000001E-2</v>
      </c>
    </row>
    <row r="17" spans="2:4" ht="15.75" thickBot="1" x14ac:dyDescent="0.3">
      <c r="B17" s="504"/>
      <c r="C17" s="505"/>
      <c r="D17" s="506"/>
    </row>
    <row r="18" spans="2:4" ht="15.75" thickBot="1" x14ac:dyDescent="0.3">
      <c r="B18" s="223">
        <v>4</v>
      </c>
      <c r="C18" s="223" t="s">
        <v>508</v>
      </c>
      <c r="D18" s="224" t="s">
        <v>497</v>
      </c>
    </row>
    <row r="19" spans="2:4" x14ac:dyDescent="0.25">
      <c r="B19" s="236" t="s">
        <v>145</v>
      </c>
      <c r="C19" s="236" t="s">
        <v>509</v>
      </c>
      <c r="D19" s="227">
        <v>0.05</v>
      </c>
    </row>
    <row r="20" spans="2:4" x14ac:dyDescent="0.25">
      <c r="B20" s="241" t="s">
        <v>150</v>
      </c>
      <c r="C20" s="241" t="s">
        <v>510</v>
      </c>
      <c r="D20" s="231">
        <v>6.4999999999999997E-3</v>
      </c>
    </row>
    <row r="21" spans="2:4" x14ac:dyDescent="0.25">
      <c r="B21" s="241" t="s">
        <v>511</v>
      </c>
      <c r="C21" s="241" t="s">
        <v>512</v>
      </c>
      <c r="D21" s="231">
        <v>0.03</v>
      </c>
    </row>
    <row r="22" spans="2:4" ht="15.75" thickBot="1" x14ac:dyDescent="0.3">
      <c r="B22" s="238" t="s">
        <v>513</v>
      </c>
      <c r="C22" s="238" t="s">
        <v>514</v>
      </c>
      <c r="D22" s="234">
        <v>4.4999999999999998E-2</v>
      </c>
    </row>
    <row r="23" spans="2:4" ht="15.75" thickBot="1" x14ac:dyDescent="0.3">
      <c r="B23" s="491" t="s">
        <v>460</v>
      </c>
      <c r="C23" s="492"/>
      <c r="D23" s="242">
        <f>SUM(D19:D22)</f>
        <v>0.13150000000000001</v>
      </c>
    </row>
    <row r="24" spans="2:4" s="222" customFormat="1" x14ac:dyDescent="0.25">
      <c r="B24" s="243"/>
      <c r="C24" s="243"/>
      <c r="D24" s="244"/>
    </row>
    <row r="25" spans="2:4" s="222" customFormat="1" x14ac:dyDescent="0.25">
      <c r="B25" s="245"/>
      <c r="C25" s="245"/>
      <c r="D25" s="246"/>
    </row>
    <row r="26" spans="2:4" x14ac:dyDescent="0.25">
      <c r="B26" s="507" t="s">
        <v>515</v>
      </c>
      <c r="C26" s="507"/>
      <c r="D26" s="507"/>
    </row>
    <row r="27" spans="2:4" x14ac:dyDescent="0.25">
      <c r="B27" s="247"/>
      <c r="C27" s="247"/>
      <c r="D27" s="248"/>
    </row>
    <row r="28" spans="2:4" x14ac:dyDescent="0.25">
      <c r="B28" s="508" t="s">
        <v>516</v>
      </c>
      <c r="C28" s="508"/>
      <c r="D28" s="508"/>
    </row>
    <row r="29" spans="2:4" x14ac:dyDescent="0.25">
      <c r="B29" s="508" t="s">
        <v>517</v>
      </c>
      <c r="C29" s="508"/>
      <c r="D29" s="508"/>
    </row>
    <row r="30" spans="2:4" x14ac:dyDescent="0.25">
      <c r="B30" s="247"/>
      <c r="C30" s="247"/>
      <c r="D30" s="248"/>
    </row>
    <row r="31" spans="2:4" x14ac:dyDescent="0.25">
      <c r="B31" s="247" t="s">
        <v>518</v>
      </c>
      <c r="C31" s="247"/>
      <c r="D31" s="248"/>
    </row>
    <row r="32" spans="2:4" x14ac:dyDescent="0.25">
      <c r="B32" s="247" t="s">
        <v>519</v>
      </c>
      <c r="C32" s="247"/>
      <c r="D32" s="248"/>
    </row>
    <row r="33" spans="2:4" x14ac:dyDescent="0.25">
      <c r="B33" s="247" t="s">
        <v>520</v>
      </c>
      <c r="C33" s="247"/>
      <c r="D33" s="248"/>
    </row>
    <row r="34" spans="2:4" x14ac:dyDescent="0.25">
      <c r="B34" s="247" t="s">
        <v>521</v>
      </c>
      <c r="C34" s="247"/>
      <c r="D34" s="248"/>
    </row>
    <row r="35" spans="2:4" x14ac:dyDescent="0.25">
      <c r="B35" s="247" t="s">
        <v>522</v>
      </c>
      <c r="C35" s="247"/>
      <c r="D35" s="248"/>
    </row>
    <row r="36" spans="2:4" x14ac:dyDescent="0.25">
      <c r="B36" s="247" t="s">
        <v>523</v>
      </c>
      <c r="C36" s="247"/>
      <c r="D36" s="248"/>
    </row>
    <row r="37" spans="2:4" x14ac:dyDescent="0.25">
      <c r="B37" s="247" t="s">
        <v>524</v>
      </c>
      <c r="C37" s="247"/>
      <c r="D37" s="248"/>
    </row>
    <row r="38" spans="2:4" x14ac:dyDescent="0.25">
      <c r="B38" s="222"/>
      <c r="C38" s="222"/>
      <c r="D38" s="222"/>
    </row>
    <row r="39" spans="2:4" x14ac:dyDescent="0.25">
      <c r="B39" s="222"/>
      <c r="C39" s="222"/>
      <c r="D39" s="222"/>
    </row>
    <row r="40" spans="2:4" x14ac:dyDescent="0.25">
      <c r="B40" s="222"/>
      <c r="C40" s="222"/>
      <c r="D40" s="222"/>
    </row>
    <row r="41" spans="2:4" x14ac:dyDescent="0.25">
      <c r="B41" s="222"/>
      <c r="C41" s="222"/>
      <c r="D41" s="222"/>
    </row>
    <row r="42" spans="2:4" x14ac:dyDescent="0.25">
      <c r="B42" s="222"/>
      <c r="C42" s="222"/>
      <c r="D42" s="222"/>
    </row>
    <row r="43" spans="2:4" x14ac:dyDescent="0.25">
      <c r="B43" s="222"/>
      <c r="C43" s="222"/>
      <c r="D43" s="222"/>
    </row>
    <row r="44" spans="2:4" x14ac:dyDescent="0.25">
      <c r="B44" s="222"/>
      <c r="C44" s="222"/>
      <c r="D44" s="222"/>
    </row>
    <row r="45" spans="2:4" x14ac:dyDescent="0.25">
      <c r="B45" s="222"/>
      <c r="C45" s="222"/>
      <c r="D45" s="222"/>
    </row>
    <row r="46" spans="2:4" x14ac:dyDescent="0.25">
      <c r="B46" s="222"/>
      <c r="C46" s="222"/>
      <c r="D46" s="222"/>
    </row>
    <row r="47" spans="2:4" x14ac:dyDescent="0.25">
      <c r="B47" s="222"/>
      <c r="C47" s="222"/>
      <c r="D47" s="222"/>
    </row>
    <row r="48" spans="2:4" x14ac:dyDescent="0.25">
      <c r="B48" s="222"/>
      <c r="C48" s="222"/>
      <c r="D48" s="222"/>
    </row>
    <row r="49" spans="2:4" x14ac:dyDescent="0.25">
      <c r="B49" s="222"/>
      <c r="C49" s="222"/>
      <c r="D49" s="222"/>
    </row>
    <row r="50" spans="2:4" x14ac:dyDescent="0.25">
      <c r="B50" s="222"/>
      <c r="C50" s="222"/>
      <c r="D50" s="222"/>
    </row>
    <row r="51" spans="2:4" x14ac:dyDescent="0.25">
      <c r="B51" s="222"/>
      <c r="C51" s="222"/>
      <c r="D51" s="222"/>
    </row>
    <row r="52" spans="2:4" x14ac:dyDescent="0.25">
      <c r="B52" s="222"/>
      <c r="C52" s="222"/>
      <c r="D52" s="222"/>
    </row>
    <row r="53" spans="2:4" x14ac:dyDescent="0.25">
      <c r="B53" s="222"/>
      <c r="C53" s="222"/>
      <c r="D53" s="222"/>
    </row>
    <row r="54" spans="2:4" x14ac:dyDescent="0.25">
      <c r="B54" s="222"/>
      <c r="C54" s="222"/>
      <c r="D54" s="222"/>
    </row>
    <row r="55" spans="2:4" x14ac:dyDescent="0.25">
      <c r="B55" s="222"/>
      <c r="C55" s="222"/>
      <c r="D55" s="222"/>
    </row>
    <row r="56" spans="2:4" x14ac:dyDescent="0.25">
      <c r="B56" s="222"/>
      <c r="C56" s="222"/>
      <c r="D56" s="222"/>
    </row>
    <row r="57" spans="2:4" x14ac:dyDescent="0.25">
      <c r="B57" s="222"/>
      <c r="C57" s="222"/>
      <c r="D57" s="222"/>
    </row>
    <row r="58" spans="2:4" x14ac:dyDescent="0.25">
      <c r="B58" s="222"/>
      <c r="C58" s="222"/>
      <c r="D58" s="222"/>
    </row>
    <row r="59" spans="2:4" x14ac:dyDescent="0.25">
      <c r="B59" s="222"/>
      <c r="C59" s="222"/>
      <c r="D59" s="222"/>
    </row>
    <row r="60" spans="2:4" x14ac:dyDescent="0.25">
      <c r="B60" s="222"/>
      <c r="C60" s="222"/>
      <c r="D60" s="222"/>
    </row>
    <row r="61" spans="2:4" x14ac:dyDescent="0.25">
      <c r="B61" s="222"/>
      <c r="C61" s="222"/>
      <c r="D61" s="222"/>
    </row>
    <row r="62" spans="2:4" x14ac:dyDescent="0.25">
      <c r="B62" s="222"/>
      <c r="C62" s="222"/>
      <c r="D62" s="222"/>
    </row>
    <row r="63" spans="2:4" x14ac:dyDescent="0.25">
      <c r="B63" s="222"/>
      <c r="C63" s="222"/>
      <c r="D63" s="222"/>
    </row>
    <row r="64" spans="2:4" x14ac:dyDescent="0.25">
      <c r="B64" s="222"/>
      <c r="C64" s="222"/>
      <c r="D64" s="222"/>
    </row>
    <row r="65" spans="2:4" x14ac:dyDescent="0.25">
      <c r="B65" s="222"/>
      <c r="C65" s="222"/>
      <c r="D65" s="222"/>
    </row>
    <row r="66" spans="2:4" x14ac:dyDescent="0.25">
      <c r="B66" s="222"/>
      <c r="C66" s="222"/>
      <c r="D66" s="222"/>
    </row>
    <row r="67" spans="2:4" x14ac:dyDescent="0.25">
      <c r="B67" s="222"/>
      <c r="C67" s="222"/>
      <c r="D67" s="222"/>
    </row>
  </sheetData>
  <mergeCells count="11">
    <mergeCell ref="B17:D17"/>
    <mergeCell ref="B23:C23"/>
    <mergeCell ref="B26:D26"/>
    <mergeCell ref="B28:D28"/>
    <mergeCell ref="B29:D29"/>
    <mergeCell ref="B16:C16"/>
    <mergeCell ref="B2:D2"/>
    <mergeCell ref="B3:D3"/>
    <mergeCell ref="B4:D4"/>
    <mergeCell ref="B11:C11"/>
    <mergeCell ref="B12:D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ABB1-3A93-45AC-91A9-8A54A3B40AF7}">
  <sheetPr>
    <tabColor theme="3" tint="0.59999389629810485"/>
  </sheetPr>
  <dimension ref="A1:X68"/>
  <sheetViews>
    <sheetView workbookViewId="0">
      <selection activeCell="C19" sqref="C19"/>
    </sheetView>
  </sheetViews>
  <sheetFormatPr defaultRowHeight="15" x14ac:dyDescent="0.25"/>
  <cols>
    <col min="1" max="1" width="9.140625" style="222"/>
    <col min="2" max="2" width="31.7109375" customWidth="1"/>
    <col min="3" max="3" width="35" customWidth="1"/>
    <col min="4" max="4" width="10.140625" bestFit="1" customWidth="1"/>
    <col min="5" max="24" width="9.140625" style="222"/>
  </cols>
  <sheetData>
    <row r="1" spans="2:4" s="222" customFormat="1" ht="15.75" thickBot="1" x14ac:dyDescent="0.3"/>
    <row r="2" spans="2:4" ht="15.75" thickBot="1" x14ac:dyDescent="0.3">
      <c r="B2" s="493" t="s">
        <v>525</v>
      </c>
      <c r="C2" s="494"/>
      <c r="D2" s="495"/>
    </row>
    <row r="3" spans="2:4" ht="15.75" thickBot="1" x14ac:dyDescent="0.3">
      <c r="B3" s="493" t="s">
        <v>494</v>
      </c>
      <c r="C3" s="494"/>
      <c r="D3" s="495"/>
    </row>
    <row r="4" spans="2:4" ht="15.75" thickBot="1" x14ac:dyDescent="0.3">
      <c r="B4" s="496"/>
      <c r="C4" s="497"/>
      <c r="D4" s="498"/>
    </row>
    <row r="5" spans="2:4" ht="15.75" thickBot="1" x14ac:dyDescent="0.3">
      <c r="B5" s="223" t="s">
        <v>495</v>
      </c>
      <c r="C5" s="223" t="s">
        <v>496</v>
      </c>
      <c r="D5" s="249" t="s">
        <v>497</v>
      </c>
    </row>
    <row r="6" spans="2:4" x14ac:dyDescent="0.25">
      <c r="B6" s="225">
        <v>1</v>
      </c>
      <c r="C6" s="226" t="s">
        <v>498</v>
      </c>
      <c r="D6" s="231">
        <v>0.02</v>
      </c>
    </row>
    <row r="7" spans="2:4" x14ac:dyDescent="0.25">
      <c r="B7" s="228">
        <v>2</v>
      </c>
      <c r="C7" s="229" t="s">
        <v>499</v>
      </c>
      <c r="D7" s="230">
        <f>D16</f>
        <v>8.6E-3</v>
      </c>
    </row>
    <row r="8" spans="2:4" x14ac:dyDescent="0.25">
      <c r="B8" s="228">
        <v>3</v>
      </c>
      <c r="C8" s="229" t="s">
        <v>500</v>
      </c>
      <c r="D8" s="231">
        <v>8.0000000000000002E-3</v>
      </c>
    </row>
    <row r="9" spans="2:4" ht="15.75" thickBot="1" x14ac:dyDescent="0.3">
      <c r="B9" s="228">
        <v>4</v>
      </c>
      <c r="C9" s="229" t="s">
        <v>501</v>
      </c>
      <c r="D9" s="250">
        <f>D23</f>
        <v>8.6499999999999994E-2</v>
      </c>
    </row>
    <row r="10" spans="2:4" ht="15.75" thickBot="1" x14ac:dyDescent="0.3">
      <c r="B10" s="232">
        <v>5</v>
      </c>
      <c r="C10" s="233" t="s">
        <v>502</v>
      </c>
      <c r="D10" s="251">
        <v>3.5000000000000003E-2</v>
      </c>
    </row>
    <row r="11" spans="2:4" ht="15.75" thickBot="1" x14ac:dyDescent="0.3">
      <c r="B11" s="499" t="s">
        <v>526</v>
      </c>
      <c r="C11" s="500"/>
      <c r="D11" s="235">
        <f>((1+(D6+D15+D14))*(1+D8)*(1+D10)/(1-D23))-1</f>
        <v>0.17473213793103448</v>
      </c>
    </row>
    <row r="12" spans="2:4" ht="15.75" thickBot="1" x14ac:dyDescent="0.3">
      <c r="B12" s="511" t="s">
        <v>504</v>
      </c>
      <c r="C12" s="512"/>
      <c r="D12" s="513"/>
    </row>
    <row r="13" spans="2:4" ht="15.75" thickBot="1" x14ac:dyDescent="0.3">
      <c r="B13" s="223">
        <v>2</v>
      </c>
      <c r="C13" s="223" t="s">
        <v>505</v>
      </c>
      <c r="D13" s="224" t="s">
        <v>497</v>
      </c>
    </row>
    <row r="14" spans="2:4" x14ac:dyDescent="0.25">
      <c r="B14" s="236" t="s">
        <v>98</v>
      </c>
      <c r="C14" s="226" t="s">
        <v>506</v>
      </c>
      <c r="D14" s="237">
        <v>3.0000000000000001E-3</v>
      </c>
    </row>
    <row r="15" spans="2:4" ht="15.75" thickBot="1" x14ac:dyDescent="0.3">
      <c r="B15" s="238" t="s">
        <v>99</v>
      </c>
      <c r="C15" s="233" t="s">
        <v>507</v>
      </c>
      <c r="D15" s="234">
        <v>5.5999999999999999E-3</v>
      </c>
    </row>
    <row r="16" spans="2:4" ht="15.75" thickBot="1" x14ac:dyDescent="0.3">
      <c r="B16" s="509" t="s">
        <v>460</v>
      </c>
      <c r="C16" s="510"/>
      <c r="D16" s="240">
        <f>SUM(D14:D15)</f>
        <v>8.6E-3</v>
      </c>
    </row>
    <row r="17" spans="2:4" ht="15.75" thickBot="1" x14ac:dyDescent="0.3">
      <c r="B17" s="509"/>
      <c r="C17" s="514"/>
      <c r="D17" s="510"/>
    </row>
    <row r="18" spans="2:4" ht="15.75" thickBot="1" x14ac:dyDescent="0.3">
      <c r="B18" s="223">
        <v>4</v>
      </c>
      <c r="C18" s="223" t="s">
        <v>508</v>
      </c>
      <c r="D18" s="224" t="s">
        <v>497</v>
      </c>
    </row>
    <row r="19" spans="2:4" x14ac:dyDescent="0.25">
      <c r="B19" s="236" t="s">
        <v>145</v>
      </c>
      <c r="C19" s="236" t="s">
        <v>509</v>
      </c>
      <c r="D19" s="227">
        <v>0.05</v>
      </c>
    </row>
    <row r="20" spans="2:4" x14ac:dyDescent="0.25">
      <c r="B20" s="241" t="s">
        <v>150</v>
      </c>
      <c r="C20" s="241" t="s">
        <v>510</v>
      </c>
      <c r="D20" s="231">
        <v>6.4999999999999997E-3</v>
      </c>
    </row>
    <row r="21" spans="2:4" x14ac:dyDescent="0.25">
      <c r="B21" s="241" t="s">
        <v>511</v>
      </c>
      <c r="C21" s="241" t="s">
        <v>512</v>
      </c>
      <c r="D21" s="231">
        <v>0.03</v>
      </c>
    </row>
    <row r="22" spans="2:4" ht="15.75" thickBot="1" x14ac:dyDescent="0.3">
      <c r="B22" s="238" t="s">
        <v>513</v>
      </c>
      <c r="C22" s="238" t="s">
        <v>514</v>
      </c>
      <c r="D22" s="234">
        <v>0</v>
      </c>
    </row>
    <row r="23" spans="2:4" ht="15.75" thickBot="1" x14ac:dyDescent="0.3">
      <c r="B23" s="509" t="s">
        <v>460</v>
      </c>
      <c r="C23" s="510"/>
      <c r="D23" s="242">
        <f>SUM(D19:D22)</f>
        <v>8.6499999999999994E-2</v>
      </c>
    </row>
    <row r="24" spans="2:4" s="222" customFormat="1" x14ac:dyDescent="0.25">
      <c r="B24" s="243"/>
      <c r="C24" s="243"/>
      <c r="D24" s="244"/>
    </row>
    <row r="25" spans="2:4" s="222" customFormat="1" x14ac:dyDescent="0.25">
      <c r="B25" s="245"/>
      <c r="C25" s="245"/>
      <c r="D25" s="246"/>
    </row>
    <row r="26" spans="2:4" s="222" customFormat="1" x14ac:dyDescent="0.25">
      <c r="B26" s="507" t="s">
        <v>515</v>
      </c>
      <c r="C26" s="507"/>
      <c r="D26" s="507"/>
    </row>
    <row r="27" spans="2:4" s="222" customFormat="1" x14ac:dyDescent="0.25">
      <c r="B27" s="247"/>
      <c r="C27" s="247"/>
      <c r="D27" s="248"/>
    </row>
    <row r="28" spans="2:4" s="222" customFormat="1" x14ac:dyDescent="0.25">
      <c r="B28" s="508" t="s">
        <v>516</v>
      </c>
      <c r="C28" s="508"/>
      <c r="D28" s="508"/>
    </row>
    <row r="29" spans="2:4" s="222" customFormat="1" x14ac:dyDescent="0.25">
      <c r="B29" s="508" t="s">
        <v>517</v>
      </c>
      <c r="C29" s="508"/>
      <c r="D29" s="508"/>
    </row>
    <row r="30" spans="2:4" s="222" customFormat="1" x14ac:dyDescent="0.25">
      <c r="B30" s="247"/>
      <c r="C30" s="247"/>
      <c r="D30" s="248"/>
    </row>
    <row r="31" spans="2:4" s="222" customFormat="1" x14ac:dyDescent="0.25">
      <c r="B31" s="247" t="s">
        <v>518</v>
      </c>
      <c r="C31" s="247"/>
      <c r="D31" s="248"/>
    </row>
    <row r="32" spans="2:4" s="222" customFormat="1" x14ac:dyDescent="0.25">
      <c r="B32" s="247" t="s">
        <v>519</v>
      </c>
      <c r="C32" s="247"/>
      <c r="D32" s="248"/>
    </row>
    <row r="33" spans="2:4" s="222" customFormat="1" x14ac:dyDescent="0.25">
      <c r="B33" s="247" t="s">
        <v>520</v>
      </c>
      <c r="C33" s="247"/>
      <c r="D33" s="248"/>
    </row>
    <row r="34" spans="2:4" s="222" customFormat="1" x14ac:dyDescent="0.25">
      <c r="B34" s="247" t="s">
        <v>521</v>
      </c>
      <c r="C34" s="247"/>
      <c r="D34" s="248"/>
    </row>
    <row r="35" spans="2:4" s="222" customFormat="1" x14ac:dyDescent="0.25">
      <c r="B35" s="247" t="s">
        <v>522</v>
      </c>
      <c r="C35" s="247"/>
      <c r="D35" s="248"/>
    </row>
    <row r="36" spans="2:4" s="222" customFormat="1" x14ac:dyDescent="0.25">
      <c r="B36" s="247" t="s">
        <v>523</v>
      </c>
      <c r="C36" s="247"/>
      <c r="D36" s="248"/>
    </row>
    <row r="37" spans="2:4" s="222" customFormat="1" x14ac:dyDescent="0.25">
      <c r="B37" s="247" t="s">
        <v>524</v>
      </c>
      <c r="C37" s="247"/>
      <c r="D37" s="248"/>
    </row>
    <row r="38" spans="2:4" s="222" customFormat="1" x14ac:dyDescent="0.25"/>
    <row r="39" spans="2:4" x14ac:dyDescent="0.25">
      <c r="B39" s="222"/>
      <c r="C39" s="222"/>
      <c r="D39" s="222"/>
    </row>
    <row r="40" spans="2:4" x14ac:dyDescent="0.25">
      <c r="B40" s="222"/>
      <c r="C40" s="222"/>
      <c r="D40" s="222"/>
    </row>
    <row r="41" spans="2:4" x14ac:dyDescent="0.25">
      <c r="B41" s="222"/>
      <c r="C41" s="222"/>
      <c r="D41" s="222"/>
    </row>
    <row r="42" spans="2:4" x14ac:dyDescent="0.25">
      <c r="B42" s="222"/>
      <c r="C42" s="222"/>
      <c r="D42" s="222"/>
    </row>
    <row r="43" spans="2:4" x14ac:dyDescent="0.25">
      <c r="B43" s="222"/>
      <c r="C43" s="222"/>
      <c r="D43" s="222"/>
    </row>
    <row r="44" spans="2:4" x14ac:dyDescent="0.25">
      <c r="B44" s="222"/>
      <c r="C44" s="222"/>
      <c r="D44" s="222"/>
    </row>
    <row r="45" spans="2:4" x14ac:dyDescent="0.25">
      <c r="B45" s="222"/>
      <c r="C45" s="222"/>
      <c r="D45" s="222"/>
    </row>
    <row r="46" spans="2:4" x14ac:dyDescent="0.25">
      <c r="B46" s="222"/>
      <c r="C46" s="222"/>
      <c r="D46" s="222"/>
    </row>
    <row r="47" spans="2:4" x14ac:dyDescent="0.25">
      <c r="B47" s="222"/>
      <c r="C47" s="222"/>
      <c r="D47" s="222"/>
    </row>
    <row r="48" spans="2:4" x14ac:dyDescent="0.25">
      <c r="B48" s="222"/>
      <c r="C48" s="222"/>
      <c r="D48" s="222"/>
    </row>
    <row r="49" spans="2:4" x14ac:dyDescent="0.25">
      <c r="B49" s="222"/>
      <c r="C49" s="222"/>
      <c r="D49" s="222"/>
    </row>
    <row r="50" spans="2:4" x14ac:dyDescent="0.25">
      <c r="B50" s="222"/>
      <c r="C50" s="222"/>
      <c r="D50" s="222"/>
    </row>
    <row r="51" spans="2:4" x14ac:dyDescent="0.25">
      <c r="B51" s="222"/>
      <c r="C51" s="222"/>
      <c r="D51" s="222"/>
    </row>
    <row r="52" spans="2:4" x14ac:dyDescent="0.25">
      <c r="B52" s="222"/>
      <c r="C52" s="222"/>
      <c r="D52" s="222"/>
    </row>
    <row r="53" spans="2:4" x14ac:dyDescent="0.25">
      <c r="B53" s="222"/>
      <c r="C53" s="222"/>
      <c r="D53" s="222"/>
    </row>
    <row r="54" spans="2:4" x14ac:dyDescent="0.25">
      <c r="B54" s="222"/>
      <c r="C54" s="222"/>
      <c r="D54" s="222"/>
    </row>
    <row r="55" spans="2:4" x14ac:dyDescent="0.25">
      <c r="B55" s="222"/>
      <c r="C55" s="222"/>
      <c r="D55" s="222"/>
    </row>
    <row r="56" spans="2:4" x14ac:dyDescent="0.25">
      <c r="B56" s="222"/>
      <c r="C56" s="222"/>
      <c r="D56" s="222"/>
    </row>
    <row r="57" spans="2:4" x14ac:dyDescent="0.25">
      <c r="B57" s="222"/>
      <c r="C57" s="222"/>
      <c r="D57" s="222"/>
    </row>
    <row r="58" spans="2:4" x14ac:dyDescent="0.25">
      <c r="B58" s="222"/>
      <c r="C58" s="222"/>
      <c r="D58" s="222"/>
    </row>
    <row r="59" spans="2:4" x14ac:dyDescent="0.25">
      <c r="B59" s="222"/>
      <c r="C59" s="222"/>
      <c r="D59" s="222"/>
    </row>
    <row r="60" spans="2:4" x14ac:dyDescent="0.25">
      <c r="B60" s="222"/>
      <c r="C60" s="222"/>
      <c r="D60" s="222"/>
    </row>
    <row r="61" spans="2:4" x14ac:dyDescent="0.25">
      <c r="B61" s="222"/>
      <c r="C61" s="222"/>
      <c r="D61" s="222"/>
    </row>
    <row r="62" spans="2:4" x14ac:dyDescent="0.25">
      <c r="B62" s="222"/>
      <c r="C62" s="222"/>
      <c r="D62" s="222"/>
    </row>
    <row r="63" spans="2:4" x14ac:dyDescent="0.25">
      <c r="B63" s="222"/>
      <c r="C63" s="222"/>
      <c r="D63" s="222"/>
    </row>
    <row r="64" spans="2:4" x14ac:dyDescent="0.25">
      <c r="B64" s="222"/>
      <c r="C64" s="222"/>
      <c r="D64" s="222"/>
    </row>
    <row r="65" spans="2:4" x14ac:dyDescent="0.25">
      <c r="B65" s="222"/>
      <c r="C65" s="222"/>
      <c r="D65" s="222"/>
    </row>
    <row r="66" spans="2:4" x14ac:dyDescent="0.25">
      <c r="B66" s="222"/>
      <c r="C66" s="222"/>
      <c r="D66" s="222"/>
    </row>
    <row r="67" spans="2:4" x14ac:dyDescent="0.25">
      <c r="B67" s="222"/>
      <c r="C67" s="222"/>
      <c r="D67" s="222"/>
    </row>
    <row r="68" spans="2:4" x14ac:dyDescent="0.25">
      <c r="B68" s="222"/>
      <c r="C68" s="222"/>
      <c r="D68" s="222"/>
    </row>
  </sheetData>
  <mergeCells count="11">
    <mergeCell ref="B17:D17"/>
    <mergeCell ref="B23:C23"/>
    <mergeCell ref="B26:D26"/>
    <mergeCell ref="B28:D28"/>
    <mergeCell ref="B29:D29"/>
    <mergeCell ref="B16:C16"/>
    <mergeCell ref="B2:D2"/>
    <mergeCell ref="B3:D3"/>
    <mergeCell ref="B4:D4"/>
    <mergeCell ref="B11:C11"/>
    <mergeCell ref="B12:D1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f8eb182-cb36-450a-b48c-7e59c0cd65d4">
      <UserInfo>
        <DisplayName>Manutenção DPF/IJI Members</DisplayName>
        <AccountId>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293370033D7449FE10E5F23F121B3" ma:contentTypeVersion="4" ma:contentTypeDescription="Create a new document." ma:contentTypeScope="" ma:versionID="b36fbf6b0308012fd3485a702831fdad">
  <xsd:schema xmlns:xsd="http://www.w3.org/2001/XMLSchema" xmlns:xs="http://www.w3.org/2001/XMLSchema" xmlns:p="http://schemas.microsoft.com/office/2006/metadata/properties" xmlns:ns2="001232f3-f4e0-4e9a-9623-bf153de609aa" xmlns:ns3="6f8eb182-cb36-450a-b48c-7e59c0cd65d4" targetNamespace="http://schemas.microsoft.com/office/2006/metadata/properties" ma:root="true" ma:fieldsID="505aa22df432e003c80c4dccbe45c8b1" ns2:_="" ns3:_="">
    <xsd:import namespace="001232f3-f4e0-4e9a-9623-bf153de609aa"/>
    <xsd:import namespace="6f8eb182-cb36-450a-b48c-7e59c0cd6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232f3-f4e0-4e9a-9623-bf153de60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eb182-cb36-450a-b48c-7e59c0cd6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E8124-8F63-4278-9588-A9C9DFC0C418}">
  <ds:schemaRefs>
    <ds:schemaRef ds:uri="http://schemas.microsoft.com/office/2006/metadata/properties"/>
    <ds:schemaRef ds:uri="http://schemas.microsoft.com/office/infopath/2007/PartnerControls"/>
    <ds:schemaRef ds:uri="6f8eb182-cb36-450a-b48c-7e59c0cd65d4"/>
  </ds:schemaRefs>
</ds:datastoreItem>
</file>

<file path=customXml/itemProps2.xml><?xml version="1.0" encoding="utf-8"?>
<ds:datastoreItem xmlns:ds="http://schemas.openxmlformats.org/officeDocument/2006/customXml" ds:itemID="{07AD64C5-2A5B-4CDE-85F6-B310F54C70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217BB-178A-4AB4-A101-C101CF9B3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232f3-f4e0-4e9a-9623-bf153de609aa"/>
    <ds:schemaRef ds:uri="6f8eb182-cb36-450a-b48c-7e59c0cd6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Proposta</vt:lpstr>
      <vt:lpstr>Item 1 - Oficial de Manut</vt:lpstr>
      <vt:lpstr>Item 2 - Eletrotécnico</vt:lpstr>
      <vt:lpstr>Item 3 - Serviços Eventuais</vt:lpstr>
      <vt:lpstr>Item 4 - Peças</vt:lpstr>
      <vt:lpstr>INSUMOS</vt:lpstr>
      <vt:lpstr>Horas extras</vt:lpstr>
      <vt:lpstr>BDI</vt:lpstr>
      <vt:lpstr>BDI Diferenciado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 Lucio da Silva</cp:lastModifiedBy>
  <cp:revision/>
  <dcterms:created xsi:type="dcterms:W3CDTF">2020-03-24T19:39:58Z</dcterms:created>
  <dcterms:modified xsi:type="dcterms:W3CDTF">2022-05-09T13:09:30Z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0x010100916293370033D7449FE10E5F23F121B3</vt:lpwstr>
  </property>
</Properties>
</file>